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60" yWindow="195" windowWidth="15600" windowHeight="7695" activeTab="1"/>
  </bookViews>
  <sheets>
    <sheet name="INPUT" sheetId="5" r:id="rId1"/>
    <sheet name="CREEP" sheetId="1" r:id="rId2"/>
    <sheet name="SHRINKAGE" sheetId="6" r:id="rId3"/>
    <sheet name="DT" sheetId="4" state="hidden" r:id="rId4"/>
  </sheets>
  <definedNames>
    <definedName name="bt">DT!$D$5:$N$5</definedName>
    <definedName name="cement">DT!$K$106:$K$111</definedName>
    <definedName name="crtbs">DT!$D$86:$D$102</definedName>
    <definedName name="crtec">DT!$E$105:$E$117</definedName>
    <definedName name="ct">DT!$D$13:$P$13</definedName>
    <definedName name="_xlnm.Print_Area" localSheetId="1">CREEP!$D$4:$M$60</definedName>
    <definedName name="_xlnm.Print_Area" localSheetId="2">SHRINKAGE!$D$4:$M$43</definedName>
  </definedNames>
  <calcPr calcId="144525"/>
</workbook>
</file>

<file path=xl/calcChain.xml><?xml version="1.0" encoding="utf-8"?>
<calcChain xmlns="http://schemas.openxmlformats.org/spreadsheetml/2006/main">
  <c r="K41" i="1" l="1"/>
  <c r="N49" i="6"/>
  <c r="N47" i="6"/>
  <c r="K48" i="1" l="1"/>
  <c r="K18" i="6"/>
  <c r="K16" i="6"/>
  <c r="K35" i="1"/>
  <c r="N21" i="1"/>
  <c r="K41" i="6" l="1"/>
  <c r="K30" i="6"/>
  <c r="K32" i="6" s="1"/>
  <c r="K33" i="6" l="1"/>
  <c r="K27" i="6" l="1"/>
  <c r="K25" i="6" s="1"/>
  <c r="K14" i="6"/>
  <c r="H11" i="6"/>
  <c r="M8" i="6"/>
  <c r="K8" i="6"/>
  <c r="G8" i="6"/>
  <c r="G6" i="6"/>
  <c r="M2" i="6"/>
  <c r="L1" i="6"/>
  <c r="K39" i="1"/>
  <c r="K16" i="1"/>
  <c r="K17" i="6" s="1"/>
  <c r="K38" i="1" l="1"/>
  <c r="K36" i="6" l="1"/>
  <c r="L48" i="6" s="1"/>
  <c r="N48" i="6" s="1"/>
  <c r="K37" i="6" s="1"/>
  <c r="K38" i="6"/>
  <c r="H11" i="1"/>
  <c r="J4" i="5"/>
  <c r="K13" i="1"/>
  <c r="M8" i="1"/>
  <c r="G8" i="1"/>
  <c r="G6" i="1"/>
  <c r="K11" i="1" l="1"/>
  <c r="K12" i="1" s="1"/>
  <c r="K56" i="1" s="1"/>
  <c r="K11" i="6"/>
  <c r="S132" i="4"/>
  <c r="I132" i="4"/>
  <c r="H132" i="4"/>
  <c r="J132" i="4" s="1"/>
  <c r="T132" i="4" s="1"/>
  <c r="U132" i="4" s="1"/>
  <c r="D132" i="4"/>
  <c r="S131" i="4"/>
  <c r="J131" i="4"/>
  <c r="I131" i="4"/>
  <c r="D131" i="4"/>
  <c r="S130" i="4"/>
  <c r="J130" i="4"/>
  <c r="I130" i="4"/>
  <c r="B130" i="4" s="1"/>
  <c r="D130" i="4"/>
  <c r="J129" i="4"/>
  <c r="I129" i="4"/>
  <c r="B129" i="4" s="1"/>
  <c r="D129" i="4"/>
  <c r="S128" i="4"/>
  <c r="J128" i="4"/>
  <c r="I128" i="4"/>
  <c r="B128" i="4" s="1"/>
  <c r="D128" i="4"/>
  <c r="J127" i="4"/>
  <c r="T127" i="4" s="1"/>
  <c r="U127" i="4" s="1"/>
  <c r="I127" i="4"/>
  <c r="D127" i="4"/>
  <c r="S126" i="4"/>
  <c r="J126" i="4"/>
  <c r="T126" i="4" s="1"/>
  <c r="U126" i="4" s="1"/>
  <c r="I126" i="4"/>
  <c r="D126" i="4"/>
  <c r="J125" i="4"/>
  <c r="I125" i="4"/>
  <c r="D125" i="4"/>
  <c r="S124" i="4"/>
  <c r="J124" i="4"/>
  <c r="T124" i="4" s="1"/>
  <c r="U124" i="4" s="1"/>
  <c r="I124" i="4"/>
  <c r="D124" i="4"/>
  <c r="B124" i="4"/>
  <c r="J123" i="4"/>
  <c r="T123" i="4" s="1"/>
  <c r="U123" i="4" s="1"/>
  <c r="I123" i="4"/>
  <c r="D123" i="4"/>
  <c r="S122" i="4"/>
  <c r="J122" i="4"/>
  <c r="I122" i="4"/>
  <c r="D122" i="4"/>
  <c r="J121" i="4"/>
  <c r="I121" i="4"/>
  <c r="D121" i="4"/>
  <c r="J120" i="4"/>
  <c r="I120" i="4"/>
  <c r="D120" i="4"/>
  <c r="M2" i="1"/>
  <c r="L1" i="1"/>
  <c r="K8" i="1"/>
  <c r="T125" i="4" l="1"/>
  <c r="U125" i="4" s="1"/>
  <c r="B132" i="4"/>
  <c r="K122" i="4"/>
  <c r="L122" i="4" s="1"/>
  <c r="K120" i="4"/>
  <c r="L120" i="4" s="1"/>
  <c r="K124" i="4"/>
  <c r="L124" i="4" s="1"/>
  <c r="K131" i="4"/>
  <c r="L131" i="4" s="1"/>
  <c r="B123" i="4"/>
  <c r="K123" i="4"/>
  <c r="L123" i="4" s="1"/>
  <c r="B127" i="4"/>
  <c r="T128" i="4"/>
  <c r="U128" i="4" s="1"/>
  <c r="K129" i="4"/>
  <c r="L129" i="4" s="1"/>
  <c r="K121" i="4"/>
  <c r="L121" i="4" s="1"/>
  <c r="T122" i="4"/>
  <c r="U122" i="4" s="1"/>
  <c r="K130" i="4"/>
  <c r="L130" i="4" s="1"/>
  <c r="T131" i="4"/>
  <c r="U131" i="4" s="1"/>
  <c r="K57" i="1"/>
  <c r="K26" i="1" s="1"/>
  <c r="K58" i="1"/>
  <c r="K40" i="6"/>
  <c r="K39" i="6" s="1"/>
  <c r="K12" i="6"/>
  <c r="K23" i="6" s="1"/>
  <c r="K35" i="6" s="1"/>
  <c r="K55" i="1"/>
  <c r="K45" i="1" s="1"/>
  <c r="K32" i="1"/>
  <c r="K127" i="4"/>
  <c r="L127" i="4" s="1"/>
  <c r="K128" i="4"/>
  <c r="L128" i="4" s="1"/>
  <c r="T130" i="4"/>
  <c r="U130" i="4" s="1"/>
  <c r="K132" i="4"/>
  <c r="L132" i="4" s="1"/>
  <c r="T120" i="4"/>
  <c r="U120" i="4" s="1"/>
  <c r="T121" i="4"/>
  <c r="U121" i="4" s="1"/>
  <c r="B125" i="4"/>
  <c r="K125" i="4"/>
  <c r="L125" i="4" s="1"/>
  <c r="B126" i="4"/>
  <c r="K126" i="4"/>
  <c r="L126" i="4" s="1"/>
  <c r="T129" i="4"/>
  <c r="U129" i="4" s="1"/>
  <c r="B131" i="4"/>
  <c r="B120" i="4"/>
  <c r="B121" i="4"/>
  <c r="B122" i="4"/>
  <c r="F87" i="4"/>
  <c r="F88" i="4"/>
  <c r="F89" i="4"/>
  <c r="F90" i="4"/>
  <c r="F91" i="4"/>
  <c r="F92" i="4"/>
  <c r="F93" i="4"/>
  <c r="F94" i="4"/>
  <c r="F95" i="4"/>
  <c r="F96" i="4"/>
  <c r="F97" i="4"/>
  <c r="F98" i="4"/>
  <c r="F99" i="4"/>
  <c r="F100" i="4"/>
  <c r="F101" i="4"/>
  <c r="F102" i="4"/>
  <c r="F86" i="4"/>
  <c r="K23" i="1" l="1"/>
  <c r="K20" i="1" s="1"/>
  <c r="Q21" i="1" s="1"/>
  <c r="K43" i="6"/>
  <c r="K60" i="1" l="1"/>
</calcChain>
</file>

<file path=xl/comments1.xml><?xml version="1.0" encoding="utf-8"?>
<comments xmlns="http://schemas.openxmlformats.org/spreadsheetml/2006/main">
  <authors>
    <author>Microsoft</author>
  </authors>
  <commentList>
    <comment ref="K30" authorId="0">
      <text>
        <r>
          <rPr>
            <b/>
            <sz val="9"/>
            <color indexed="81"/>
            <rFont val="Tahoma"/>
            <family val="2"/>
          </rPr>
          <t>Microsoft:</t>
        </r>
        <r>
          <rPr>
            <sz val="9"/>
            <color indexed="81"/>
            <rFont val="Tahoma"/>
            <family val="2"/>
          </rPr>
          <t xml:space="preserve">
Độ ẩm trong nhà 50%
Độ ẩm ngoài trời 80%
</t>
        </r>
      </text>
    </comment>
  </commentList>
</comments>
</file>

<file path=xl/comments2.xml><?xml version="1.0" encoding="utf-8"?>
<comments xmlns="http://schemas.openxmlformats.org/spreadsheetml/2006/main">
  <authors>
    <author>Microsoft</author>
  </authors>
  <commentList>
    <comment ref="K13" authorId="0">
      <text>
        <r>
          <rPr>
            <b/>
            <sz val="9"/>
            <color indexed="81"/>
            <rFont val="Tahoma"/>
            <family val="2"/>
          </rPr>
          <t>Microsoft:</t>
        </r>
        <r>
          <rPr>
            <sz val="9"/>
            <color indexed="81"/>
            <rFont val="Tahoma"/>
            <family val="2"/>
          </rPr>
          <t xml:space="preserve">
Fix giá trị</t>
        </r>
      </text>
    </comment>
    <comment ref="K27" authorId="0">
      <text>
        <r>
          <rPr>
            <b/>
            <sz val="9"/>
            <color indexed="81"/>
            <rFont val="Tahoma"/>
            <family val="2"/>
          </rPr>
          <t>Microsoft:</t>
        </r>
        <r>
          <rPr>
            <sz val="9"/>
            <color indexed="81"/>
            <rFont val="Tahoma"/>
            <family val="2"/>
          </rPr>
          <t xml:space="preserve">
Độ ẩm trong nhà 50%
Độ ẩm ngoài trời 80%
</t>
        </r>
      </text>
    </comment>
    <comment ref="N30" authorId="0">
      <text>
        <r>
          <rPr>
            <b/>
            <sz val="9"/>
            <color indexed="81"/>
            <rFont val="Tahoma"/>
            <family val="2"/>
          </rPr>
          <t>Microsoft:</t>
        </r>
        <r>
          <rPr>
            <sz val="9"/>
            <color indexed="81"/>
            <rFont val="Tahoma"/>
            <family val="2"/>
          </rPr>
          <t xml:space="preserve">
Xem thêm file word [EC2] Cach xac dinh loai xi mang dung trong be tong
Phụ thuộc vào những giả sử được sử dụng trong thiết kế, có thể cần để xác định hệ số từ biến hiệu quả hef (ref. Cl. 3.1.4 &amp; 5.8.4). Toán đồ được cung cấp trong tiêu chuẩn Eurocode (Hình 3.1) có cần đến cường độ xi măng; tuy nhiên, ở giai đoạn thiết kế, thường không chắc chắn loại lớp nào được áp dụng. 
</t>
        </r>
        <r>
          <rPr>
            <sz val="9"/>
            <color indexed="10"/>
            <rFont val="Tahoma"/>
            <family val="2"/>
          </rPr>
          <t xml:space="preserve">Nhìn chung, lớp R cần được giả thiết.  </t>
        </r>
        <r>
          <rPr>
            <sz val="9"/>
            <color indexed="81"/>
            <rFont val="Tahoma"/>
            <family val="2"/>
          </rPr>
          <t xml:space="preserve">
Khi xỉ lò cao kết tinh ở mặt đất (ggbs) vượt quá 35% phần xi măng kết hợp hoặc xỉ nhiên liệu nát vụn (pfa) vượt quá 20% xi măng kết hợp thì loại N có thể được giả sử. 
Khi ggbs vượt quá 65% hoặc pfa vượt quá 35%, lớp S có thể được giả sử.</t>
        </r>
      </text>
    </comment>
  </commentList>
</comments>
</file>

<file path=xl/comments3.xml><?xml version="1.0" encoding="utf-8"?>
<comments xmlns="http://schemas.openxmlformats.org/spreadsheetml/2006/main">
  <authors>
    <author>Microsoft</author>
  </authors>
  <commentList>
    <comment ref="L119" authorId="0">
      <text>
        <r>
          <rPr>
            <b/>
            <sz val="9"/>
            <color indexed="81"/>
            <rFont val="Tahoma"/>
            <family val="2"/>
          </rPr>
          <t>Microsoft:</t>
        </r>
        <r>
          <rPr>
            <sz val="9"/>
            <color indexed="81"/>
            <rFont val="Tahoma"/>
            <family val="2"/>
          </rPr>
          <t xml:space="preserve">
Khối lượng riêng các dự án Việt Nam. Bê tông nặng </t>
        </r>
        <r>
          <rPr>
            <b/>
            <sz val="9"/>
            <color indexed="81"/>
            <rFont val="Tahoma"/>
            <family val="2"/>
          </rPr>
          <t>25kN/m3</t>
        </r>
        <r>
          <rPr>
            <sz val="9"/>
            <color indexed="81"/>
            <rFont val="Tahoma"/>
            <family val="2"/>
          </rPr>
          <t xml:space="preserve">
</t>
        </r>
      </text>
    </comment>
    <comment ref="U119" authorId="0">
      <text>
        <r>
          <rPr>
            <b/>
            <sz val="9"/>
            <color indexed="81"/>
            <rFont val="Tahoma"/>
            <family val="2"/>
          </rPr>
          <t>Microsoft:</t>
        </r>
        <r>
          <rPr>
            <sz val="9"/>
            <color indexed="81"/>
            <rFont val="Tahoma"/>
            <family val="2"/>
          </rPr>
          <t xml:space="preserve">
Khối lượng riêng các dự án Nước Ngoài. Bê tông nặng </t>
        </r>
        <r>
          <rPr>
            <b/>
            <sz val="9"/>
            <color indexed="81"/>
            <rFont val="Tahoma"/>
            <family val="2"/>
          </rPr>
          <t>24kN/m3</t>
        </r>
        <r>
          <rPr>
            <sz val="9"/>
            <color indexed="81"/>
            <rFont val="Tahoma"/>
            <family val="2"/>
          </rPr>
          <t xml:space="preserve">
</t>
        </r>
      </text>
    </comment>
  </commentList>
</comments>
</file>

<file path=xl/sharedStrings.xml><?xml version="1.0" encoding="utf-8"?>
<sst xmlns="http://schemas.openxmlformats.org/spreadsheetml/2006/main" count="441" uniqueCount="307">
  <si>
    <t>Project:</t>
  </si>
  <si>
    <t>Job No.</t>
  </si>
  <si>
    <t>Item:</t>
  </si>
  <si>
    <t>Prepared by:</t>
  </si>
  <si>
    <t>Checked by:</t>
  </si>
  <si>
    <t>Date:</t>
  </si>
  <si>
    <r>
      <t xml:space="preserve"> Copyright </t>
    </r>
    <r>
      <rPr>
        <b/>
        <sz val="9"/>
        <rFont val="Symbol"/>
        <family val="1"/>
        <charset val="2"/>
      </rPr>
      <t>Ó</t>
    </r>
    <r>
      <rPr>
        <b/>
        <sz val="9"/>
        <rFont val="Tahoma"/>
        <family val="2"/>
      </rPr>
      <t xml:space="preserve"> LuongTheTrungMSc</t>
    </r>
  </si>
  <si>
    <t>§.VÞ:</t>
  </si>
  <si>
    <t>MPa</t>
  </si>
  <si>
    <t>B15</t>
  </si>
  <si>
    <t>B20</t>
  </si>
  <si>
    <t>B22.5</t>
  </si>
  <si>
    <t>B25</t>
  </si>
  <si>
    <t>B30</t>
  </si>
  <si>
    <t>B35</t>
  </si>
  <si>
    <t>B40</t>
  </si>
  <si>
    <t>B45</t>
  </si>
  <si>
    <t>B50</t>
  </si>
  <si>
    <t>B55</t>
  </si>
  <si>
    <t>B60</t>
  </si>
  <si>
    <t>M¸c #</t>
  </si>
  <si>
    <t>M200</t>
  </si>
  <si>
    <t>M250</t>
  </si>
  <si>
    <t>M300</t>
  </si>
  <si>
    <t>M350</t>
  </si>
  <si>
    <t>M400</t>
  </si>
  <si>
    <t>M450</t>
  </si>
  <si>
    <t>M500</t>
  </si>
  <si>
    <t>M600</t>
  </si>
  <si>
    <t>M700</t>
  </si>
  <si>
    <t>M800</t>
  </si>
  <si>
    <t>M¸c thÐp</t>
  </si>
  <si>
    <t>CI</t>
  </si>
  <si>
    <t>CII</t>
  </si>
  <si>
    <t>CIII</t>
  </si>
  <si>
    <t>CIV</t>
  </si>
  <si>
    <t>AI</t>
  </si>
  <si>
    <t>AII</t>
  </si>
  <si>
    <t>AIII</t>
  </si>
  <si>
    <t>AIV</t>
  </si>
  <si>
    <t>RB300</t>
  </si>
  <si>
    <t>RB400</t>
  </si>
  <si>
    <t>RB400W</t>
  </si>
  <si>
    <t>RB500</t>
  </si>
  <si>
    <t>RB500W</t>
  </si>
  <si>
    <t>3) B¶ng tra diÖn tÝch vµ träng l­îng cèt thÐp.</t>
  </si>
  <si>
    <t>G/1m
(kg)</t>
  </si>
  <si>
    <t>4) B¶ng tra diÖn tÝch thÐp b¶n</t>
  </si>
  <si>
    <t>Kho¶ng
c¸ch</t>
  </si>
  <si>
    <t>§­êng kÝnh cèt thÐp, mm</t>
  </si>
  <si>
    <t>cm</t>
  </si>
  <si>
    <t>6/8</t>
  </si>
  <si>
    <t>8/10</t>
  </si>
  <si>
    <t>10/12</t>
  </si>
  <si>
    <t>12/14</t>
  </si>
  <si>
    <t>CÊp bÒn
BT</t>
  </si>
  <si>
    <t>B12.5</t>
  </si>
  <si>
    <t xml:space="preserve"> w</t>
  </si>
  <si>
    <t>f
mm</t>
  </si>
  <si>
    <r>
      <t>E</t>
    </r>
    <r>
      <rPr>
        <vertAlign val="subscript"/>
        <sz val="11"/>
        <rFont val="Verdana"/>
        <family val="2"/>
      </rPr>
      <t>b</t>
    </r>
    <r>
      <rPr>
        <sz val="11"/>
        <rFont val="Verdana"/>
        <family val="2"/>
      </rPr>
      <t>x 10</t>
    </r>
    <r>
      <rPr>
        <vertAlign val="superscript"/>
        <sz val="11"/>
        <rFont val="Verdana"/>
        <family val="2"/>
      </rPr>
      <t>3</t>
    </r>
  </si>
  <si>
    <r>
      <t>R</t>
    </r>
    <r>
      <rPr>
        <vertAlign val="subscript"/>
        <sz val="11"/>
        <rFont val="Verdana"/>
        <family val="2"/>
      </rPr>
      <t>b</t>
    </r>
  </si>
  <si>
    <r>
      <t>R</t>
    </r>
    <r>
      <rPr>
        <vertAlign val="subscript"/>
        <sz val="11"/>
        <rFont val="Verdana"/>
        <family val="2"/>
      </rPr>
      <t>bt</t>
    </r>
  </si>
  <si>
    <r>
      <t>R</t>
    </r>
    <r>
      <rPr>
        <vertAlign val="subscript"/>
        <sz val="11"/>
        <rFont val="Verdana"/>
        <family val="2"/>
      </rPr>
      <t>S</t>
    </r>
  </si>
  <si>
    <r>
      <t>R</t>
    </r>
    <r>
      <rPr>
        <vertAlign val="subscript"/>
        <sz val="11"/>
        <rFont val="Verdana"/>
        <family val="2"/>
      </rPr>
      <t>SC</t>
    </r>
  </si>
  <si>
    <r>
      <t>E</t>
    </r>
    <r>
      <rPr>
        <vertAlign val="subscript"/>
        <sz val="11"/>
        <rFont val="Verdana"/>
        <family val="2"/>
      </rPr>
      <t>s</t>
    </r>
    <r>
      <rPr>
        <sz val="11"/>
        <rFont val="Verdana"/>
        <family val="2"/>
      </rPr>
      <t>x 10</t>
    </r>
    <r>
      <rPr>
        <vertAlign val="superscript"/>
        <sz val="11"/>
        <rFont val="Verdana"/>
        <family val="2"/>
      </rPr>
      <t>4</t>
    </r>
  </si>
  <si>
    <r>
      <t>DiÖn tÝch tiÕt diÖn ngang - cm</t>
    </r>
    <r>
      <rPr>
        <b/>
        <vertAlign val="superscript"/>
        <sz val="11"/>
        <rFont val="Verdana"/>
        <family val="2"/>
      </rPr>
      <t>2</t>
    </r>
    <r>
      <rPr>
        <b/>
        <sz val="11"/>
        <rFont val="Verdana"/>
        <family val="2"/>
      </rPr>
      <t xml:space="preserve"> - øng víi sè thanh</t>
    </r>
  </si>
  <si>
    <r>
      <t>5) HÖ sè giíi h¹n chiÒu cao vïng nÐn x</t>
    </r>
    <r>
      <rPr>
        <b/>
        <vertAlign val="subscript"/>
        <sz val="11"/>
        <rFont val="Verdana"/>
        <family val="2"/>
      </rPr>
      <t>d</t>
    </r>
    <r>
      <rPr>
        <b/>
        <sz val="11"/>
        <rFont val="Verdana"/>
        <family val="2"/>
      </rPr>
      <t xml:space="preserve"> khi tÝnh theo s¬ ®å khíp dÎo</t>
    </r>
  </si>
  <si>
    <r>
      <t>x</t>
    </r>
    <r>
      <rPr>
        <vertAlign val="subscript"/>
        <sz val="11"/>
        <rFont val="Verdana"/>
        <family val="2"/>
      </rPr>
      <t>d</t>
    </r>
  </si>
  <si>
    <r>
      <t>5) HÖ sè giíi h¹n chiÒu cao vïng nÐn x</t>
    </r>
    <r>
      <rPr>
        <b/>
        <vertAlign val="subscript"/>
        <sz val="11"/>
        <rFont val="Verdana"/>
        <family val="2"/>
      </rPr>
      <t>R</t>
    </r>
    <r>
      <rPr>
        <b/>
        <sz val="11"/>
        <rFont val="Verdana"/>
        <family val="2"/>
      </rPr>
      <t xml:space="preserve"> khi tÝnh theo s¬ ®å ®µn håi</t>
    </r>
  </si>
  <si>
    <r>
      <t>R</t>
    </r>
    <r>
      <rPr>
        <b/>
        <vertAlign val="subscript"/>
        <sz val="11"/>
        <rFont val="Verdana"/>
        <family val="2"/>
      </rPr>
      <t>s=</t>
    </r>
  </si>
  <si>
    <r>
      <t>g</t>
    </r>
    <r>
      <rPr>
        <vertAlign val="subscript"/>
        <sz val="11"/>
        <rFont val="Verdana"/>
        <family val="2"/>
      </rPr>
      <t>b2</t>
    </r>
    <r>
      <rPr>
        <sz val="11"/>
        <rFont val="Verdana"/>
        <family val="2"/>
      </rPr>
      <t xml:space="preserve"> = 1</t>
    </r>
  </si>
  <si>
    <t>Bảng dữ liệu DATA không được thay đổi</t>
  </si>
  <si>
    <t>1) Bê tông</t>
  </si>
  <si>
    <t>Cấp độ bền</t>
  </si>
  <si>
    <t>2) Thép</t>
  </si>
  <si>
    <t>BS8110</t>
  </si>
  <si>
    <t>C20</t>
  </si>
  <si>
    <t>C25</t>
  </si>
  <si>
    <t>C30</t>
  </si>
  <si>
    <t>C35</t>
  </si>
  <si>
    <t>C40</t>
  </si>
  <si>
    <t>C45</t>
  </si>
  <si>
    <t>C50</t>
  </si>
  <si>
    <t>C55</t>
  </si>
  <si>
    <t>C60</t>
  </si>
  <si>
    <t>C65</t>
  </si>
  <si>
    <t>C70</t>
  </si>
  <si>
    <t>C75</t>
  </si>
  <si>
    <t>C80</t>
  </si>
  <si>
    <t>C85</t>
  </si>
  <si>
    <t>C90</t>
  </si>
  <si>
    <t>C95</t>
  </si>
  <si>
    <t>C100</t>
  </si>
  <si>
    <t>C</t>
  </si>
  <si>
    <t>fcu</t>
  </si>
  <si>
    <t>E</t>
  </si>
  <si>
    <t>EC2</t>
  </si>
  <si>
    <t>Concrete</t>
  </si>
  <si>
    <t>C16/20</t>
  </si>
  <si>
    <t>C20/25</t>
  </si>
  <si>
    <t>C25/30</t>
  </si>
  <si>
    <t>C30/37</t>
  </si>
  <si>
    <t>C35/45</t>
  </si>
  <si>
    <t>C40/50</t>
  </si>
  <si>
    <t>C45/55</t>
  </si>
  <si>
    <t>C50/60</t>
  </si>
  <si>
    <t>C55/67</t>
  </si>
  <si>
    <r>
      <t>f</t>
    </r>
    <r>
      <rPr>
        <vertAlign val="subscript"/>
        <sz val="11"/>
        <rFont val="Verdana"/>
        <family val="2"/>
      </rPr>
      <t>ck</t>
    </r>
    <r>
      <rPr>
        <sz val="11"/>
        <rFont val="Verdana"/>
        <family val="2"/>
      </rPr>
      <t>(MPa)</t>
    </r>
  </si>
  <si>
    <r>
      <t>f</t>
    </r>
    <r>
      <rPr>
        <vertAlign val="subscript"/>
        <sz val="11"/>
        <rFont val="Verdana"/>
        <family val="2"/>
      </rPr>
      <t>ctm</t>
    </r>
    <r>
      <rPr>
        <sz val="11"/>
        <rFont val="Verdana"/>
        <family val="2"/>
      </rPr>
      <t>(MPa)</t>
    </r>
  </si>
  <si>
    <r>
      <t xml:space="preserve"> e</t>
    </r>
    <r>
      <rPr>
        <vertAlign val="subscript"/>
        <sz val="11"/>
        <rFont val="Verdana"/>
        <family val="2"/>
      </rPr>
      <t>cu2</t>
    </r>
  </si>
  <si>
    <t>Project</t>
  </si>
  <si>
    <t>Level</t>
  </si>
  <si>
    <t>Date</t>
  </si>
  <si>
    <t>Item</t>
  </si>
  <si>
    <t>Revision</t>
  </si>
  <si>
    <t>- Concrete</t>
  </si>
  <si>
    <t>- Reinforcement</t>
  </si>
  <si>
    <r>
      <t>f</t>
    </r>
    <r>
      <rPr>
        <vertAlign val="subscript"/>
        <sz val="11"/>
        <color theme="1"/>
        <rFont val="Tahoma"/>
        <family val="2"/>
      </rPr>
      <t>y</t>
    </r>
    <r>
      <rPr>
        <sz val="11"/>
        <color theme="1"/>
        <rFont val="Tahoma"/>
        <family val="2"/>
      </rPr>
      <t xml:space="preserve"> =</t>
    </r>
  </si>
  <si>
    <t>Logo
(if need)</t>
  </si>
  <si>
    <t>00</t>
  </si>
  <si>
    <t>m3/m2</t>
  </si>
  <si>
    <t>Sàn</t>
  </si>
  <si>
    <t>Chiều
dày</t>
  </si>
  <si>
    <t>Bước</t>
  </si>
  <si>
    <t>Kích thước bóng mm</t>
  </si>
  <si>
    <r>
      <t>Bóng
/m</t>
    </r>
    <r>
      <rPr>
        <b/>
        <vertAlign val="superscript"/>
        <sz val="11"/>
        <rFont val="Tahoma"/>
        <family val="2"/>
      </rPr>
      <t>2</t>
    </r>
  </si>
  <si>
    <r>
      <t xml:space="preserve">V </t>
    </r>
    <r>
      <rPr>
        <b/>
        <vertAlign val="subscript"/>
        <sz val="11"/>
        <rFont val="Tahoma"/>
        <family val="2"/>
      </rPr>
      <t>bóng</t>
    </r>
    <r>
      <rPr>
        <b/>
        <sz val="11"/>
        <rFont val="Tahoma"/>
        <family val="2"/>
      </rPr>
      <t xml:space="preserve"> (m</t>
    </r>
    <r>
      <rPr>
        <b/>
        <vertAlign val="superscript"/>
        <sz val="11"/>
        <rFont val="Tahoma"/>
        <family val="2"/>
      </rPr>
      <t>3</t>
    </r>
    <r>
      <rPr>
        <b/>
        <sz val="11"/>
        <rFont val="Tahoma"/>
        <family val="2"/>
      </rPr>
      <t>)</t>
    </r>
  </si>
  <si>
    <r>
      <t>Trọng lượng
(kg/m</t>
    </r>
    <r>
      <rPr>
        <b/>
        <vertAlign val="superscript"/>
        <sz val="11"/>
        <rFont val="Tahoma"/>
        <family val="2"/>
      </rPr>
      <t>2</t>
    </r>
    <r>
      <rPr>
        <b/>
        <sz val="11"/>
        <rFont val="Tahoma"/>
        <family val="2"/>
      </rPr>
      <t>)</t>
    </r>
  </si>
  <si>
    <r>
      <t>KLR 
(kN/m</t>
    </r>
    <r>
      <rPr>
        <b/>
        <vertAlign val="superscript"/>
        <sz val="11"/>
        <rFont val="Tahoma"/>
        <family val="2"/>
      </rPr>
      <t>3</t>
    </r>
    <r>
      <rPr>
        <b/>
        <sz val="11"/>
        <rFont val="Tahoma"/>
        <family val="2"/>
      </rPr>
      <t>)</t>
    </r>
  </si>
  <si>
    <t>Bước
thép
(mm)</t>
  </si>
  <si>
    <t>Nhịp
liên
tục(m)</t>
  </si>
  <si>
    <t>Nhịp
đơn
(m)</t>
  </si>
  <si>
    <t>Consol
max
(m)</t>
  </si>
  <si>
    <t>ĐK
Thép
(mm)</t>
  </si>
  <si>
    <r>
      <t>Thép
(kG/m</t>
    </r>
    <r>
      <rPr>
        <b/>
        <vertAlign val="superscript"/>
        <sz val="11"/>
        <rFont val="Tahoma"/>
        <family val="2"/>
      </rPr>
      <t>2</t>
    </r>
    <r>
      <rPr>
        <b/>
        <sz val="11"/>
        <rFont val="Tahoma"/>
        <family val="2"/>
      </rPr>
      <t>)</t>
    </r>
  </si>
  <si>
    <t>4-7.0</t>
  </si>
  <si>
    <t>4-5.5</t>
  </si>
  <si>
    <t>&lt; 1.8</t>
  </si>
  <si>
    <t>6 /8</t>
  </si>
  <si>
    <t>13-15</t>
  </si>
  <si>
    <t>5-8.1</t>
  </si>
  <si>
    <t>5-6.5</t>
  </si>
  <si>
    <t>&lt; 2.2</t>
  </si>
  <si>
    <t>16-18</t>
  </si>
  <si>
    <t>7-10.1</t>
  </si>
  <si>
    <t>6-7.8</t>
  </si>
  <si>
    <t>&lt; 2.7</t>
  </si>
  <si>
    <t>6 /9</t>
  </si>
  <si>
    <t>19-22</t>
  </si>
  <si>
    <t>9-12.5</t>
  </si>
  <si>
    <t>7-9.5</t>
  </si>
  <si>
    <t>&lt; 3.3</t>
  </si>
  <si>
    <t>6 /10</t>
  </si>
  <si>
    <t>23-27</t>
  </si>
  <si>
    <t>11-14.4</t>
  </si>
  <si>
    <t>9-10.9</t>
  </si>
  <si>
    <t>&lt; 3.8</t>
  </si>
  <si>
    <t>6 /12</t>
  </si>
  <si>
    <t>28-32</t>
  </si>
  <si>
    <t>13-16.4</t>
  </si>
  <si>
    <t>10-12.5</t>
  </si>
  <si>
    <t>&lt; 4.5</t>
  </si>
  <si>
    <t>35-42</t>
  </si>
  <si>
    <t>&lt; 5.6</t>
  </si>
  <si>
    <t>16-21</t>
  </si>
  <si>
    <t>12-15</t>
  </si>
  <si>
    <t>&lt; 6.0</t>
  </si>
  <si>
    <t>45-60</t>
  </si>
  <si>
    <t>- Project</t>
  </si>
  <si>
    <t>- Level</t>
  </si>
  <si>
    <t>Roof</t>
  </si>
  <si>
    <t>Y</t>
  </si>
  <si>
    <t>Milco - Kizad</t>
  </si>
  <si>
    <r>
      <t>f</t>
    </r>
    <r>
      <rPr>
        <vertAlign val="subscript"/>
        <sz val="11"/>
        <color theme="1"/>
        <rFont val="Tahoma"/>
        <family val="2"/>
      </rPr>
      <t>yt</t>
    </r>
    <r>
      <rPr>
        <sz val="11"/>
        <color theme="1"/>
        <rFont val="Tahoma"/>
        <family val="2"/>
      </rPr>
      <t xml:space="preserve"> =</t>
    </r>
  </si>
  <si>
    <r>
      <rPr>
        <sz val="11"/>
        <rFont val="Symbol"/>
        <family val="1"/>
        <charset val="2"/>
      </rPr>
      <t>·</t>
    </r>
    <r>
      <rPr>
        <sz val="9.35"/>
        <rFont val="Tahoma"/>
        <family val="2"/>
      </rPr>
      <t xml:space="preserve"> </t>
    </r>
    <r>
      <rPr>
        <sz val="11"/>
        <rFont val="Tahoma"/>
        <family val="2"/>
      </rPr>
      <t>Input</t>
    </r>
  </si>
  <si>
    <r>
      <rPr>
        <sz val="11"/>
        <rFont val="Symbol"/>
        <family val="1"/>
        <charset val="2"/>
      </rPr>
      <t>·</t>
    </r>
    <r>
      <rPr>
        <sz val="9.35"/>
        <rFont val="Tahoma"/>
        <family val="2"/>
      </rPr>
      <t xml:space="preserve"> </t>
    </r>
    <r>
      <rPr>
        <sz val="11"/>
        <rFont val="Tahoma"/>
        <family val="2"/>
      </rPr>
      <t>Calculations</t>
    </r>
  </si>
  <si>
    <r>
      <rPr>
        <sz val="11"/>
        <rFont val="Symbol"/>
        <family val="1"/>
        <charset val="2"/>
      </rPr>
      <t>·</t>
    </r>
    <r>
      <rPr>
        <sz val="9.35"/>
        <rFont val="Tahoma"/>
        <family val="2"/>
      </rPr>
      <t xml:space="preserve"> </t>
    </r>
    <r>
      <rPr>
        <sz val="11"/>
        <rFont val="Tahoma"/>
        <family val="2"/>
      </rPr>
      <t>Conclusion</t>
    </r>
  </si>
  <si>
    <r>
      <t xml:space="preserve">- </t>
    </r>
    <r>
      <rPr>
        <i/>
        <sz val="11"/>
        <color theme="1"/>
        <rFont val="Tahoma"/>
        <family val="2"/>
      </rPr>
      <t xml:space="preserve">Geometrical data </t>
    </r>
  </si>
  <si>
    <r>
      <t xml:space="preserve">- </t>
    </r>
    <r>
      <rPr>
        <i/>
        <sz val="11"/>
        <color theme="1"/>
        <rFont val="Tahoma"/>
        <family val="2"/>
      </rPr>
      <t>Materials</t>
    </r>
  </si>
  <si>
    <t>Operating instructions:</t>
  </si>
  <si>
    <r>
      <t xml:space="preserve">Enter data in </t>
    </r>
    <r>
      <rPr>
        <sz val="11"/>
        <color indexed="12"/>
        <rFont val="Tahoma"/>
        <family val="2"/>
      </rPr>
      <t>BLUE CELLS</t>
    </r>
    <r>
      <rPr>
        <sz val="11"/>
        <rFont val="Tahoma"/>
        <family val="2"/>
      </rPr>
      <t xml:space="preserve"> only.</t>
    </r>
  </si>
  <si>
    <r>
      <t>f</t>
    </r>
    <r>
      <rPr>
        <vertAlign val="subscript"/>
        <sz val="11"/>
        <color theme="1"/>
        <rFont val="Tahoma"/>
        <family val="2"/>
      </rPr>
      <t>ck</t>
    </r>
    <r>
      <rPr>
        <sz val="11"/>
        <color theme="1"/>
        <rFont val="Tahoma"/>
        <family val="2"/>
      </rPr>
      <t xml:space="preserve"> =</t>
    </r>
  </si>
  <si>
    <t>where:</t>
  </si>
  <si>
    <r>
      <t>ϕ</t>
    </r>
    <r>
      <rPr>
        <vertAlign val="subscript"/>
        <sz val="11"/>
        <color theme="1"/>
        <rFont val="Tahoma"/>
        <family val="2"/>
      </rPr>
      <t>0</t>
    </r>
    <r>
      <rPr>
        <sz val="11"/>
        <color theme="1"/>
        <rFont val="Tahoma"/>
        <family val="2"/>
      </rPr>
      <t xml:space="preserve"> is the notional creep coefficient and may be estimated from:</t>
    </r>
  </si>
  <si>
    <r>
      <t>ϕ</t>
    </r>
    <r>
      <rPr>
        <vertAlign val="subscript"/>
        <sz val="11"/>
        <color theme="1"/>
        <rFont val="Tahoma"/>
        <family val="2"/>
      </rPr>
      <t>RH</t>
    </r>
    <r>
      <rPr>
        <sz val="11"/>
        <color theme="1"/>
        <rFont val="Tahoma"/>
        <family val="2"/>
      </rPr>
      <t xml:space="preserve"> is a factor to allow for the effect of relative humidity on the notional creep coefficient:</t>
    </r>
  </si>
  <si>
    <t>RH is the relative humidity of the ambient environment in %</t>
  </si>
  <si>
    <t>RH =</t>
  </si>
  <si>
    <t>%</t>
  </si>
  <si>
    <r>
      <t>β(f</t>
    </r>
    <r>
      <rPr>
        <vertAlign val="subscript"/>
        <sz val="11"/>
        <color theme="1"/>
        <rFont val="Tahoma"/>
        <family val="2"/>
      </rPr>
      <t>cm</t>
    </r>
    <r>
      <rPr>
        <sz val="11"/>
        <color theme="1"/>
        <rFont val="Tahoma"/>
        <family val="2"/>
      </rPr>
      <t>) is a factor to allow for the effect of concrete strength on the notional creep coefficient:</t>
    </r>
  </si>
  <si>
    <r>
      <t>β(f</t>
    </r>
    <r>
      <rPr>
        <vertAlign val="subscript"/>
        <sz val="11"/>
        <color theme="1"/>
        <rFont val="Tahoma"/>
        <family val="2"/>
      </rPr>
      <t>cm</t>
    </r>
    <r>
      <rPr>
        <sz val="11"/>
        <color theme="1"/>
        <rFont val="Tahoma"/>
        <family val="2"/>
      </rPr>
      <t>) = 16.8/f</t>
    </r>
    <r>
      <rPr>
        <vertAlign val="subscript"/>
        <sz val="11"/>
        <color theme="1"/>
        <rFont val="Tahoma"/>
        <family val="2"/>
      </rPr>
      <t>cm</t>
    </r>
    <r>
      <rPr>
        <vertAlign val="superscript"/>
        <sz val="11"/>
        <color theme="1"/>
        <rFont val="Tahoma"/>
        <family val="2"/>
      </rPr>
      <t xml:space="preserve">0.5 </t>
    </r>
    <r>
      <rPr>
        <sz val="11"/>
        <color theme="1"/>
        <rFont val="Tahoma"/>
        <family val="2"/>
      </rPr>
      <t>=</t>
    </r>
  </si>
  <si>
    <r>
      <t>f</t>
    </r>
    <r>
      <rPr>
        <vertAlign val="subscript"/>
        <sz val="11"/>
        <color theme="1"/>
        <rFont val="Tahoma"/>
        <family val="2"/>
      </rPr>
      <t>cm</t>
    </r>
    <r>
      <rPr>
        <sz val="11"/>
        <color theme="1"/>
        <rFont val="Tahoma"/>
        <family val="2"/>
      </rPr>
      <t xml:space="preserve"> =</t>
    </r>
  </si>
  <si>
    <t>coefficient:</t>
  </si>
  <si>
    <r>
      <t>β(t</t>
    </r>
    <r>
      <rPr>
        <vertAlign val="subscript"/>
        <sz val="11"/>
        <color theme="1"/>
        <rFont val="Tahoma"/>
        <family val="2"/>
      </rPr>
      <t>0</t>
    </r>
    <r>
      <rPr>
        <sz val="11"/>
        <color theme="1"/>
        <rFont val="Tahoma"/>
        <family val="2"/>
      </rPr>
      <t>) is a factor to allow for the effect of concrete age at loading on the notional creep</t>
    </r>
  </si>
  <si>
    <r>
      <t>h</t>
    </r>
    <r>
      <rPr>
        <vertAlign val="subscript"/>
        <sz val="11"/>
        <color theme="1"/>
        <rFont val="Tahoma"/>
        <family val="2"/>
      </rPr>
      <t>0</t>
    </r>
    <r>
      <rPr>
        <sz val="11"/>
        <color theme="1"/>
        <rFont val="Tahoma"/>
        <family val="2"/>
      </rPr>
      <t xml:space="preserve"> is the notional size of the member in mm where:</t>
    </r>
  </si>
  <si>
    <r>
      <t>A</t>
    </r>
    <r>
      <rPr>
        <vertAlign val="subscript"/>
        <sz val="11"/>
        <color theme="1"/>
        <rFont val="Tahoma"/>
        <family val="2"/>
      </rPr>
      <t>c</t>
    </r>
    <r>
      <rPr>
        <sz val="11"/>
        <color theme="1"/>
        <rFont val="Tahoma"/>
        <family val="2"/>
      </rPr>
      <t xml:space="preserve"> is the cross-sectional area</t>
    </r>
  </si>
  <si>
    <t>b =</t>
  </si>
  <si>
    <t>mm</t>
  </si>
  <si>
    <t>h =</t>
  </si>
  <si>
    <t>d =</t>
  </si>
  <si>
    <r>
      <t>mm</t>
    </r>
    <r>
      <rPr>
        <vertAlign val="superscript"/>
        <sz val="11"/>
        <color theme="1"/>
        <rFont val="Tahoma"/>
        <family val="2"/>
      </rPr>
      <t>2</t>
    </r>
  </si>
  <si>
    <t>u is the perimeter of the member in contact with the atmosphere</t>
  </si>
  <si>
    <t>and may be estimated using the following Expression:</t>
  </si>
  <si>
    <r>
      <t>β</t>
    </r>
    <r>
      <rPr>
        <vertAlign val="subscript"/>
        <sz val="11"/>
        <color theme="1"/>
        <rFont val="Tahoma"/>
        <family val="2"/>
      </rPr>
      <t>c</t>
    </r>
    <r>
      <rPr>
        <sz val="11"/>
        <color theme="1"/>
        <rFont val="Tahoma"/>
        <family val="2"/>
      </rPr>
      <t>(t,t</t>
    </r>
    <r>
      <rPr>
        <vertAlign val="subscript"/>
        <sz val="11"/>
        <color theme="1"/>
        <rFont val="Tahoma"/>
        <family val="2"/>
      </rPr>
      <t>0</t>
    </r>
    <r>
      <rPr>
        <sz val="11"/>
        <color theme="1"/>
        <rFont val="Tahoma"/>
        <family val="2"/>
      </rPr>
      <t>) is a coefficient to describe the development of creep with time after loading,</t>
    </r>
  </si>
  <si>
    <t>=</t>
  </si>
  <si>
    <t>t =</t>
  </si>
  <si>
    <t>days</t>
  </si>
  <si>
    <r>
      <t>t</t>
    </r>
    <r>
      <rPr>
        <vertAlign val="subscript"/>
        <sz val="11"/>
        <color theme="1"/>
        <rFont val="Tahoma"/>
        <family val="2"/>
      </rPr>
      <t>0</t>
    </r>
    <r>
      <rPr>
        <sz val="11"/>
        <color theme="1"/>
        <rFont val="Tahoma"/>
        <family val="2"/>
      </rPr>
      <t xml:space="preserve"> =</t>
    </r>
  </si>
  <si>
    <r>
      <t>t – t</t>
    </r>
    <r>
      <rPr>
        <vertAlign val="subscript"/>
        <sz val="11"/>
        <color theme="1"/>
        <rFont val="Tahoma"/>
        <family val="2"/>
      </rPr>
      <t>0</t>
    </r>
    <r>
      <rPr>
        <sz val="11"/>
        <color theme="1"/>
        <rFont val="Tahoma"/>
        <family val="2"/>
      </rPr>
      <t xml:space="preserve"> is the non-adjusted duration of loading in days</t>
    </r>
  </si>
  <si>
    <r>
      <t>β</t>
    </r>
    <r>
      <rPr>
        <vertAlign val="subscript"/>
        <sz val="11"/>
        <color theme="1"/>
        <rFont val="Tahoma"/>
        <family val="2"/>
      </rPr>
      <t>H</t>
    </r>
    <r>
      <rPr>
        <sz val="11"/>
        <color theme="1"/>
        <rFont val="Tahoma"/>
        <family val="2"/>
      </rPr>
      <t xml:space="preserve"> is a coefficient depending on the relative humidity (RH in %) and the notional member size</t>
    </r>
  </si>
  <si>
    <r>
      <t>(h</t>
    </r>
    <r>
      <rPr>
        <vertAlign val="subscript"/>
        <sz val="11"/>
        <color theme="1"/>
        <rFont val="Tahoma"/>
        <family val="2"/>
      </rPr>
      <t>0</t>
    </r>
    <r>
      <rPr>
        <sz val="11"/>
        <color theme="1"/>
        <rFont val="Tahoma"/>
        <family val="2"/>
      </rPr>
      <t xml:space="preserve"> in mm). It may be estimated from:</t>
    </r>
  </si>
  <si>
    <r>
      <rPr>
        <sz val="11"/>
        <color theme="1"/>
        <rFont val="Symbol"/>
        <family val="1"/>
        <charset val="2"/>
      </rPr>
      <t>b</t>
    </r>
    <r>
      <rPr>
        <vertAlign val="subscript"/>
        <sz val="11"/>
        <color theme="1"/>
        <rFont val="Tahoma"/>
        <family val="2"/>
      </rPr>
      <t>H</t>
    </r>
    <r>
      <rPr>
        <sz val="11"/>
        <color theme="1"/>
        <rFont val="Tahoma"/>
        <family val="2"/>
      </rPr>
      <t xml:space="preserve"> =</t>
    </r>
  </si>
  <si>
    <r>
      <rPr>
        <sz val="11"/>
        <color theme="1"/>
        <rFont val="Symbol"/>
        <family val="1"/>
        <charset val="2"/>
      </rPr>
      <t>a</t>
    </r>
    <r>
      <rPr>
        <vertAlign val="subscript"/>
        <sz val="11"/>
        <color theme="1"/>
        <rFont val="Tahoma"/>
        <family val="2"/>
      </rPr>
      <t>1</t>
    </r>
    <r>
      <rPr>
        <sz val="11"/>
        <color theme="1"/>
        <rFont val="Tahoma"/>
        <family val="2"/>
      </rPr>
      <t xml:space="preserve"> = (35/f</t>
    </r>
    <r>
      <rPr>
        <vertAlign val="subscript"/>
        <sz val="11"/>
        <color theme="1"/>
        <rFont val="Tahoma"/>
        <family val="2"/>
      </rPr>
      <t>cm</t>
    </r>
    <r>
      <rPr>
        <sz val="11"/>
        <color theme="1"/>
        <rFont val="Tahoma"/>
        <family val="2"/>
      </rPr>
      <t>)</t>
    </r>
    <r>
      <rPr>
        <vertAlign val="superscript"/>
        <sz val="11"/>
        <color theme="1"/>
        <rFont val="Tahoma"/>
        <family val="2"/>
      </rPr>
      <t>0.7</t>
    </r>
    <r>
      <rPr>
        <sz val="11"/>
        <color theme="1"/>
        <rFont val="Tahoma"/>
        <family val="2"/>
      </rPr>
      <t xml:space="preserve"> =</t>
    </r>
  </si>
  <si>
    <r>
      <rPr>
        <sz val="11"/>
        <color theme="1"/>
        <rFont val="Symbol"/>
        <family val="1"/>
        <charset val="2"/>
      </rPr>
      <t>a</t>
    </r>
    <r>
      <rPr>
        <vertAlign val="subscript"/>
        <sz val="11"/>
        <color theme="1"/>
        <rFont val="Tahoma"/>
        <family val="2"/>
      </rPr>
      <t>2</t>
    </r>
    <r>
      <rPr>
        <sz val="11"/>
        <color theme="1"/>
        <rFont val="Tahoma"/>
        <family val="2"/>
      </rPr>
      <t xml:space="preserve"> = (35/f</t>
    </r>
    <r>
      <rPr>
        <vertAlign val="subscript"/>
        <sz val="11"/>
        <color theme="1"/>
        <rFont val="Tahoma"/>
        <family val="2"/>
      </rPr>
      <t>cm</t>
    </r>
    <r>
      <rPr>
        <sz val="11"/>
        <color theme="1"/>
        <rFont val="Tahoma"/>
        <family val="2"/>
      </rPr>
      <t>)</t>
    </r>
    <r>
      <rPr>
        <vertAlign val="superscript"/>
        <sz val="11"/>
        <color theme="1"/>
        <rFont val="Tahoma"/>
        <family val="2"/>
      </rPr>
      <t>0.2</t>
    </r>
    <r>
      <rPr>
        <sz val="11"/>
        <color theme="1"/>
        <rFont val="Tahoma"/>
        <family val="2"/>
      </rPr>
      <t xml:space="preserve"> =</t>
    </r>
  </si>
  <si>
    <r>
      <rPr>
        <sz val="11"/>
        <color theme="1"/>
        <rFont val="Symbol"/>
        <family val="1"/>
        <charset val="2"/>
      </rPr>
      <t>a</t>
    </r>
    <r>
      <rPr>
        <vertAlign val="subscript"/>
        <sz val="11"/>
        <color theme="1"/>
        <rFont val="Tahoma"/>
        <family val="2"/>
      </rPr>
      <t>3</t>
    </r>
    <r>
      <rPr>
        <sz val="11"/>
        <color theme="1"/>
        <rFont val="Tahoma"/>
        <family val="2"/>
      </rPr>
      <t xml:space="preserve"> = (35/f</t>
    </r>
    <r>
      <rPr>
        <vertAlign val="subscript"/>
        <sz val="11"/>
        <color theme="1"/>
        <rFont val="Tahoma"/>
        <family val="2"/>
      </rPr>
      <t>cm</t>
    </r>
    <r>
      <rPr>
        <sz val="11"/>
        <color theme="1"/>
        <rFont val="Tahoma"/>
        <family val="2"/>
      </rPr>
      <t>)</t>
    </r>
    <r>
      <rPr>
        <vertAlign val="superscript"/>
        <sz val="11"/>
        <color theme="1"/>
        <rFont val="Tahoma"/>
        <family val="2"/>
      </rPr>
      <t>0.5</t>
    </r>
    <r>
      <rPr>
        <sz val="11"/>
        <color theme="1"/>
        <rFont val="Tahoma"/>
        <family val="2"/>
      </rPr>
      <t xml:space="preserve"> =</t>
    </r>
  </si>
  <si>
    <t>Determining the creep coefficient</t>
  </si>
  <si>
    <r>
      <t>The creep coefficient ϕ(t,t</t>
    </r>
    <r>
      <rPr>
        <vertAlign val="subscript"/>
        <sz val="11"/>
        <color theme="1"/>
        <rFont val="Tahoma"/>
        <family val="2"/>
      </rPr>
      <t>0</t>
    </r>
    <r>
      <rPr>
        <sz val="11"/>
        <color theme="1"/>
        <rFont val="Tahoma"/>
        <family val="2"/>
      </rPr>
      <t>) may be calculated from:</t>
    </r>
  </si>
  <si>
    <r>
      <t>ϕ(t,t</t>
    </r>
    <r>
      <rPr>
        <vertAlign val="subscript"/>
        <sz val="11"/>
        <color theme="1"/>
        <rFont val="Tahoma"/>
        <family val="2"/>
      </rPr>
      <t>0</t>
    </r>
    <r>
      <rPr>
        <sz val="11"/>
        <color theme="1"/>
        <rFont val="Tahoma"/>
        <family val="2"/>
      </rPr>
      <t>) = ϕ</t>
    </r>
    <r>
      <rPr>
        <vertAlign val="subscript"/>
        <sz val="11"/>
        <color theme="1"/>
        <rFont val="Tahoma"/>
        <family val="2"/>
      </rPr>
      <t>0</t>
    </r>
    <r>
      <rPr>
        <sz val="11"/>
        <color theme="1"/>
        <rFont val="Tahoma"/>
        <family val="2"/>
      </rPr>
      <t xml:space="preserve"> * β</t>
    </r>
    <r>
      <rPr>
        <vertAlign val="subscript"/>
        <sz val="11"/>
        <color theme="1"/>
        <rFont val="Tahoma"/>
        <family val="2"/>
      </rPr>
      <t>c</t>
    </r>
    <r>
      <rPr>
        <sz val="11"/>
        <color theme="1"/>
        <rFont val="Tahoma"/>
        <family val="2"/>
      </rPr>
      <t>(t,t</t>
    </r>
    <r>
      <rPr>
        <vertAlign val="subscript"/>
        <sz val="11"/>
        <color theme="1"/>
        <rFont val="Tahoma"/>
        <family val="2"/>
      </rPr>
      <t>0</t>
    </r>
    <r>
      <rPr>
        <sz val="11"/>
        <color theme="1"/>
        <rFont val="Tahoma"/>
        <family val="2"/>
      </rPr>
      <t>) =</t>
    </r>
  </si>
  <si>
    <r>
      <t>ϕ</t>
    </r>
    <r>
      <rPr>
        <vertAlign val="subscript"/>
        <sz val="11"/>
        <color theme="1"/>
        <rFont val="Tahoma"/>
        <family val="2"/>
      </rPr>
      <t>0</t>
    </r>
    <r>
      <rPr>
        <sz val="11"/>
        <color theme="1"/>
        <rFont val="Tahoma"/>
        <family val="2"/>
      </rPr>
      <t xml:space="preserve"> =ϕ</t>
    </r>
    <r>
      <rPr>
        <vertAlign val="subscript"/>
        <sz val="11"/>
        <color theme="1"/>
        <rFont val="Tahoma"/>
        <family val="2"/>
      </rPr>
      <t>RH</t>
    </r>
    <r>
      <rPr>
        <sz val="11"/>
        <color theme="1"/>
        <rFont val="Tahoma"/>
        <family val="2"/>
      </rPr>
      <t xml:space="preserve"> * β(f</t>
    </r>
    <r>
      <rPr>
        <vertAlign val="subscript"/>
        <sz val="11"/>
        <color theme="1"/>
        <rFont val="Tahoma"/>
        <family val="2"/>
      </rPr>
      <t>cm</t>
    </r>
    <r>
      <rPr>
        <sz val="11"/>
        <color theme="1"/>
        <rFont val="Tahoma"/>
        <family val="2"/>
      </rPr>
      <t>) * β(t</t>
    </r>
    <r>
      <rPr>
        <vertAlign val="subscript"/>
        <sz val="11"/>
        <color theme="1"/>
        <rFont val="Tahoma"/>
        <family val="2"/>
      </rPr>
      <t>0</t>
    </r>
    <r>
      <rPr>
        <sz val="11"/>
        <color theme="1"/>
        <rFont val="Tahoma"/>
        <family val="2"/>
      </rPr>
      <t>) =</t>
    </r>
  </si>
  <si>
    <t>hệ số từ biến biểu kiến</t>
  </si>
  <si>
    <t>hệ số tính đến ảnh hưởng của độ ẩm tương đối đến hệ số từ biến biểu kiến</t>
  </si>
  <si>
    <t>độ ẩm tương đối của môi trường xung quanh</t>
  </si>
  <si>
    <t>hệ số tính đến ảnh hưởng của độ bền bê tông đến hệ số từ biến biểu kiến</t>
  </si>
  <si>
    <t>hệ số tính đến ảnh hưởng của tuổi bê tông tại thời điểm chất tải đến hệ số từ biến biểu kiến</t>
  </si>
  <si>
    <t>kích thước biểu kiến của cấu kiện</t>
  </si>
  <si>
    <t>diện tích tiết diện ngang</t>
  </si>
  <si>
    <t>chu vi của cấu kiện tiếp xúc với khí quyển</t>
  </si>
  <si>
    <t>hệ số mô tả sự phát triển của từ biến sau khi chất tải</t>
  </si>
  <si>
    <t>tuổi của bê tông tạo thời điểm đang xét</t>
  </si>
  <si>
    <r>
      <t>hệ số phụ thuộc vào độ ẩm tương đối và h</t>
    </r>
    <r>
      <rPr>
        <vertAlign val="subscript"/>
        <sz val="11"/>
        <color theme="1"/>
        <rFont val="Tahoma"/>
        <family val="2"/>
      </rPr>
      <t xml:space="preserve">0 </t>
    </r>
    <r>
      <rPr>
        <sz val="11"/>
        <color theme="1"/>
        <rFont val="Tahoma"/>
        <family val="2"/>
      </rPr>
      <t>mm</t>
    </r>
  </si>
  <si>
    <r>
      <rPr>
        <sz val="11"/>
        <color rgb="FFC00000"/>
        <rFont val="Tahoma"/>
        <family val="2"/>
      </rPr>
      <t>RED CELLS</t>
    </r>
    <r>
      <rPr>
        <sz val="11"/>
        <rFont val="Tahoma"/>
        <family val="2"/>
      </rPr>
      <t xml:space="preserve"> indicate entry errors or Notes.</t>
    </r>
  </si>
  <si>
    <r>
      <t>β(t</t>
    </r>
    <r>
      <rPr>
        <vertAlign val="subscript"/>
        <sz val="11"/>
        <color theme="1"/>
        <rFont val="Tahoma"/>
        <family val="2"/>
      </rPr>
      <t>0</t>
    </r>
    <r>
      <rPr>
        <sz val="11"/>
        <color theme="1"/>
        <rFont val="Tahoma"/>
        <family val="2"/>
      </rPr>
      <t>) = 1 / (0.1 + t</t>
    </r>
    <r>
      <rPr>
        <vertAlign val="subscript"/>
        <sz val="11"/>
        <color theme="1"/>
        <rFont val="Tahoma"/>
        <family val="2"/>
      </rPr>
      <t>0</t>
    </r>
    <r>
      <rPr>
        <vertAlign val="superscript"/>
        <sz val="11"/>
        <color theme="1"/>
        <rFont val="Tahoma"/>
        <family val="2"/>
      </rPr>
      <t>0.20</t>
    </r>
    <r>
      <rPr>
        <sz val="11"/>
        <color theme="1"/>
        <rFont val="Tahoma"/>
        <family val="2"/>
      </rPr>
      <t xml:space="preserve">) = </t>
    </r>
  </si>
  <si>
    <r>
      <t>h</t>
    </r>
    <r>
      <rPr>
        <vertAlign val="subscript"/>
        <sz val="11"/>
        <color theme="1"/>
        <rFont val="Tahoma"/>
        <family val="2"/>
      </rPr>
      <t>0</t>
    </r>
    <r>
      <rPr>
        <sz val="11"/>
        <color theme="1"/>
        <rFont val="Tahoma"/>
        <family val="2"/>
      </rPr>
      <t xml:space="preserve"> = 2A</t>
    </r>
    <r>
      <rPr>
        <vertAlign val="subscript"/>
        <sz val="11"/>
        <color theme="1"/>
        <rFont val="Tahoma"/>
        <family val="2"/>
      </rPr>
      <t xml:space="preserve">c </t>
    </r>
    <r>
      <rPr>
        <sz val="11"/>
        <color theme="1"/>
        <rFont val="Tahoma"/>
        <family val="2"/>
      </rPr>
      <t>/ u =</t>
    </r>
  </si>
  <si>
    <r>
      <rPr>
        <i/>
        <sz val="11"/>
        <color theme="1"/>
        <rFont val="Symbol"/>
        <family val="1"/>
        <charset val="2"/>
      </rPr>
      <t>j</t>
    </r>
    <r>
      <rPr>
        <vertAlign val="subscript"/>
        <sz val="11"/>
        <color theme="1"/>
        <rFont val="Tahoma"/>
        <family val="2"/>
      </rPr>
      <t>RH</t>
    </r>
    <r>
      <rPr>
        <sz val="11"/>
        <color theme="1"/>
        <rFont val="Tahoma"/>
        <family val="2"/>
      </rPr>
      <t xml:space="preserve"> =</t>
    </r>
  </si>
  <si>
    <t>The creep coefficient value is:</t>
  </si>
  <si>
    <r>
      <t>The basic drying shrinkage strain ε</t>
    </r>
    <r>
      <rPr>
        <vertAlign val="subscript"/>
        <sz val="11"/>
        <color theme="1"/>
        <rFont val="Tahoma"/>
        <family val="2"/>
      </rPr>
      <t>cd,0</t>
    </r>
    <r>
      <rPr>
        <sz val="11"/>
        <color theme="1"/>
        <rFont val="Tahoma"/>
        <family val="2"/>
      </rPr>
      <t xml:space="preserve"> is calculated from</t>
    </r>
  </si>
  <si>
    <t>Type of cement</t>
  </si>
  <si>
    <t>Cement classes</t>
  </si>
  <si>
    <t>Class</t>
  </si>
  <si>
    <t>CEM 32,5 N</t>
  </si>
  <si>
    <t>CEM 32,5 R</t>
  </si>
  <si>
    <t>N</t>
  </si>
  <si>
    <t>CEM 42,5 N</t>
  </si>
  <si>
    <t>CEM 42,5 R</t>
  </si>
  <si>
    <t>R</t>
  </si>
  <si>
    <t>CEM 52,5 N</t>
  </si>
  <si>
    <t>CEM 52,5 R</t>
  </si>
  <si>
    <t>Cement class</t>
  </si>
  <si>
    <r>
      <rPr>
        <sz val="11"/>
        <color theme="1"/>
        <rFont val="Symbol"/>
        <family val="1"/>
        <charset val="2"/>
      </rPr>
      <t>a</t>
    </r>
    <r>
      <rPr>
        <vertAlign val="subscript"/>
        <sz val="11"/>
        <color theme="1"/>
        <rFont val="Tahoma"/>
        <family val="2"/>
      </rPr>
      <t>ds1</t>
    </r>
    <r>
      <rPr>
        <sz val="11"/>
        <color theme="1"/>
        <rFont val="Tahoma"/>
        <family val="2"/>
      </rPr>
      <t xml:space="preserve"> and </t>
    </r>
    <r>
      <rPr>
        <sz val="11"/>
        <color theme="1"/>
        <rFont val="Symbol"/>
        <family val="1"/>
        <charset val="2"/>
      </rPr>
      <t>a</t>
    </r>
    <r>
      <rPr>
        <vertAlign val="subscript"/>
        <sz val="11"/>
        <color theme="1"/>
        <rFont val="Tahoma"/>
        <family val="2"/>
      </rPr>
      <t>ds2</t>
    </r>
    <r>
      <rPr>
        <sz val="11"/>
        <color theme="1"/>
        <rFont val="Tahoma"/>
        <family val="2"/>
      </rPr>
      <t xml:space="preserve"> is a coefficient which depends on the type of cement </t>
    </r>
  </si>
  <si>
    <r>
      <rPr>
        <sz val="11"/>
        <color theme="1"/>
        <rFont val="Symbol"/>
        <family val="1"/>
        <charset val="2"/>
      </rPr>
      <t>a</t>
    </r>
    <r>
      <rPr>
        <vertAlign val="subscript"/>
        <sz val="11"/>
        <color theme="1"/>
        <rFont val="Tahoma"/>
        <family val="2"/>
      </rPr>
      <t>ds1</t>
    </r>
    <r>
      <rPr>
        <sz val="11"/>
        <color theme="1"/>
        <rFont val="Tahoma"/>
        <family val="2"/>
      </rPr>
      <t xml:space="preserve"> =</t>
    </r>
  </si>
  <si>
    <r>
      <rPr>
        <sz val="11"/>
        <color theme="1"/>
        <rFont val="Symbol"/>
        <family val="1"/>
        <charset val="2"/>
      </rPr>
      <t>a</t>
    </r>
    <r>
      <rPr>
        <vertAlign val="subscript"/>
        <sz val="11"/>
        <color theme="1"/>
        <rFont val="Tahoma"/>
        <family val="2"/>
      </rPr>
      <t>ds2</t>
    </r>
    <r>
      <rPr>
        <sz val="11"/>
        <color theme="1"/>
        <rFont val="Tahoma"/>
        <family val="2"/>
      </rPr>
      <t xml:space="preserve"> =</t>
    </r>
  </si>
  <si>
    <r>
      <rPr>
        <sz val="11"/>
        <color theme="1"/>
        <rFont val="Symbol"/>
        <family val="1"/>
        <charset val="2"/>
      </rPr>
      <t>e</t>
    </r>
    <r>
      <rPr>
        <vertAlign val="subscript"/>
        <sz val="11"/>
        <color theme="1"/>
        <rFont val="Tahoma"/>
        <family val="2"/>
      </rPr>
      <t>cd,0</t>
    </r>
    <r>
      <rPr>
        <sz val="11"/>
        <color theme="1"/>
        <rFont val="Tahoma"/>
        <family val="2"/>
      </rPr>
      <t xml:space="preserve"> =</t>
    </r>
  </si>
  <si>
    <t>loại xi măng</t>
  </si>
  <si>
    <r>
      <t>RH</t>
    </r>
    <r>
      <rPr>
        <vertAlign val="subscript"/>
        <sz val="11"/>
        <color theme="1"/>
        <rFont val="Tahoma"/>
        <family val="2"/>
      </rPr>
      <t>0</t>
    </r>
    <r>
      <rPr>
        <sz val="11"/>
        <color theme="1"/>
        <rFont val="Tahoma"/>
        <family val="2"/>
      </rPr>
      <t xml:space="preserve"> =</t>
    </r>
  </si>
  <si>
    <t>t is the age of concrete in days</t>
  </si>
  <si>
    <t>at the moment considered:</t>
  </si>
  <si>
    <r>
      <t>t</t>
    </r>
    <r>
      <rPr>
        <vertAlign val="subscript"/>
        <sz val="11"/>
        <color theme="1"/>
        <rFont val="Tahoma"/>
        <family val="2"/>
      </rPr>
      <t>0</t>
    </r>
    <r>
      <rPr>
        <sz val="11"/>
        <color theme="1"/>
        <rFont val="Tahoma"/>
        <family val="2"/>
      </rPr>
      <t xml:space="preserve"> is the age of concrete at loading in days:</t>
    </r>
  </si>
  <si>
    <r>
      <rPr>
        <sz val="11"/>
        <color theme="1"/>
        <rFont val="Symbol"/>
        <family val="1"/>
        <charset val="2"/>
      </rPr>
      <t>b</t>
    </r>
    <r>
      <rPr>
        <vertAlign val="subscript"/>
        <sz val="11"/>
        <color theme="1"/>
        <rFont val="Tahoma"/>
        <family val="2"/>
      </rPr>
      <t>RH</t>
    </r>
    <r>
      <rPr>
        <sz val="11"/>
        <color theme="1"/>
        <rFont val="Tahoma"/>
        <family val="2"/>
      </rPr>
      <t xml:space="preserve"> = 1.55 * (1 - (RH / RH</t>
    </r>
    <r>
      <rPr>
        <vertAlign val="subscript"/>
        <sz val="11"/>
        <color theme="1"/>
        <rFont val="Tahoma"/>
        <family val="2"/>
      </rPr>
      <t>0</t>
    </r>
    <r>
      <rPr>
        <sz val="11"/>
        <color theme="1"/>
        <rFont val="Tahoma"/>
        <family val="2"/>
      </rPr>
      <t>)</t>
    </r>
    <r>
      <rPr>
        <vertAlign val="superscript"/>
        <sz val="11"/>
        <color theme="1"/>
        <rFont val="Tahoma"/>
        <family val="2"/>
      </rPr>
      <t xml:space="preserve">3 </t>
    </r>
    <r>
      <rPr>
        <sz val="11"/>
        <color theme="1"/>
        <rFont val="Tahoma"/>
        <family val="2"/>
      </rPr>
      <t>) =</t>
    </r>
  </si>
  <si>
    <t>kG/m3</t>
  </si>
  <si>
    <t xml:space="preserve">&lt;== hệ số từ biến </t>
  </si>
  <si>
    <r>
      <t>f</t>
    </r>
    <r>
      <rPr>
        <vertAlign val="subscript"/>
        <sz val="11"/>
        <color theme="1"/>
        <rFont val="Tahoma"/>
        <family val="2"/>
      </rPr>
      <t>cmo</t>
    </r>
    <r>
      <rPr>
        <sz val="11"/>
        <color theme="1"/>
        <rFont val="Tahoma"/>
        <family val="2"/>
      </rPr>
      <t xml:space="preserve"> =</t>
    </r>
  </si>
  <si>
    <t>CEM I 42.5 N (Portland Cement)</t>
  </si>
  <si>
    <t>This is the basic cement and is commonly used for general construction work. This
cement is frequently combined with ground granulated blastfurnace slag or pulverized
fuel ash</t>
  </si>
  <si>
    <t>CEM I 42.5 R and 52.5 N (Portland Cement)</t>
  </si>
  <si>
    <t>This cement is normally made by grinding the same clinker as CEM I 42.5 N to a greater
fineness; in order to prevent a more rapid set occurring than for CEM I 42.5 N, extra gypsum is usually added at the grinding stage. CEM I 42.5 R or 52.5 N is used where
there is a requirement for early strength, for example precast applications.</t>
  </si>
  <si>
    <t>Sulfate Resisting Portland Cement (CEM I + SR) BS 4027</t>
  </si>
  <si>
    <t>To produce this cement iron oxide is added to the raw feed to the kiln which results in the
production of a material low in tricalcium aluminate (C3A). This is the compound that
reacts with sulfates to potentially result in sulfate attack which may lead to the
disintegration of the hardened mortar. The increased iron oxide content gives sulfate
resisting Portland cement a darker colour than plain Portland Cement. Sulfate resisting
Portland cement is often ground finer than CEM I Class (42.5 N) in order to compensate
for the reduced early strength caused by its low C3A content.</t>
  </si>
  <si>
    <t>Masonry Cement (BS 5224)</t>
  </si>
  <si>
    <t>Masonry cement was developed in the United States in the 1930's and is made by mixing
Portland cement with up to approximately 60% of a filler such as ground chalk and
incorporating a plasticiser/air entraining additive. This cement is weaker in strength than
normal Portland cement, but has improved plasticity and water retention.</t>
  </si>
  <si>
    <t>CEM II/A-L (Portland Limestone Cement)</t>
  </si>
  <si>
    <t>This cement is produced by blending or intergrinding 6-20% of ground limestone with
Portland cement. It is also possible to produce this material in the concrete mixer by
mixing 6-20% of limestone fines, conforming to BS 7979, with Portland cement.</t>
  </si>
  <si>
    <t>White Cement (CEM I)</t>
  </si>
  <si>
    <t>This is a cement made from especially pure non-iron containing raw materials (e.g. China
clay and white limestone) in order that the tetracalcium aluminoferrite (C4AF) content is
very low. It is normally made in a separate kiln and is therefore more expensive than
standard Portland cement. Currently, this cement is only available in the UK as strength
class 52.5 N.</t>
  </si>
  <si>
    <t>u = 2(b + h) =</t>
  </si>
  <si>
    <r>
      <t>A</t>
    </r>
    <r>
      <rPr>
        <vertAlign val="subscript"/>
        <sz val="11"/>
        <color theme="1"/>
        <rFont val="Tahoma"/>
        <family val="2"/>
      </rPr>
      <t>c</t>
    </r>
    <r>
      <rPr>
        <sz val="11"/>
        <color theme="1"/>
        <rFont val="Tahoma"/>
        <family val="2"/>
      </rPr>
      <t xml:space="preserve"> = bh =</t>
    </r>
  </si>
  <si>
    <t>The autogenous shrinkage strain</t>
  </si>
  <si>
    <r>
      <rPr>
        <sz val="11"/>
        <color theme="1"/>
        <rFont val="Symbol"/>
        <family val="1"/>
        <charset val="2"/>
      </rPr>
      <t>e</t>
    </r>
    <r>
      <rPr>
        <vertAlign val="subscript"/>
        <sz val="11"/>
        <color theme="1"/>
        <rFont val="Tahoma"/>
        <family val="2"/>
      </rPr>
      <t>ca</t>
    </r>
    <r>
      <rPr>
        <sz val="11"/>
        <color theme="1"/>
        <rFont val="Tahoma"/>
        <family val="2"/>
      </rPr>
      <t xml:space="preserve">(t) = </t>
    </r>
    <r>
      <rPr>
        <sz val="11"/>
        <color theme="1"/>
        <rFont val="Symbol"/>
        <family val="1"/>
        <charset val="2"/>
      </rPr>
      <t>b</t>
    </r>
    <r>
      <rPr>
        <vertAlign val="subscript"/>
        <sz val="11"/>
        <color theme="1"/>
        <rFont val="Tahoma"/>
        <family val="2"/>
      </rPr>
      <t>as</t>
    </r>
    <r>
      <rPr>
        <sz val="11"/>
        <color theme="1"/>
        <rFont val="Tahoma"/>
        <family val="2"/>
      </rPr>
      <t xml:space="preserve">(t) </t>
    </r>
    <r>
      <rPr>
        <sz val="11"/>
        <color theme="1"/>
        <rFont val="Symbol"/>
        <family val="1"/>
        <charset val="2"/>
      </rPr>
      <t>e</t>
    </r>
    <r>
      <rPr>
        <vertAlign val="subscript"/>
        <sz val="11"/>
        <color theme="1"/>
        <rFont val="Tahoma"/>
        <family val="2"/>
      </rPr>
      <t>ca</t>
    </r>
    <r>
      <rPr>
        <sz val="11"/>
        <color theme="1"/>
        <rFont val="Tahoma"/>
        <family val="2"/>
      </rPr>
      <t>(</t>
    </r>
    <r>
      <rPr>
        <sz val="11"/>
        <color theme="1"/>
        <rFont val="Symbol"/>
        <family val="1"/>
        <charset val="2"/>
      </rPr>
      <t>¥</t>
    </r>
    <r>
      <rPr>
        <sz val="11"/>
        <color theme="1"/>
        <rFont val="Tahoma"/>
        <family val="2"/>
      </rPr>
      <t>) =</t>
    </r>
  </si>
  <si>
    <r>
      <rPr>
        <sz val="11"/>
        <color theme="1"/>
        <rFont val="Symbol"/>
        <family val="1"/>
        <charset val="2"/>
      </rPr>
      <t>e</t>
    </r>
    <r>
      <rPr>
        <vertAlign val="subscript"/>
        <sz val="11"/>
        <color theme="1"/>
        <rFont val="Tahoma"/>
        <family val="2"/>
      </rPr>
      <t>ca</t>
    </r>
    <r>
      <rPr>
        <sz val="11"/>
        <color theme="1"/>
        <rFont val="Tahoma"/>
        <family val="2"/>
      </rPr>
      <t>(</t>
    </r>
    <r>
      <rPr>
        <sz val="11"/>
        <color theme="1"/>
        <rFont val="Symbol"/>
        <family val="1"/>
        <charset val="2"/>
      </rPr>
      <t>¥</t>
    </r>
    <r>
      <rPr>
        <sz val="11"/>
        <color theme="1"/>
        <rFont val="Tahoma"/>
        <family val="2"/>
      </rPr>
      <t>) = 2.5(f</t>
    </r>
    <r>
      <rPr>
        <vertAlign val="subscript"/>
        <sz val="11"/>
        <color theme="1"/>
        <rFont val="Tahoma"/>
        <family val="2"/>
      </rPr>
      <t>ck</t>
    </r>
    <r>
      <rPr>
        <sz val="11"/>
        <color theme="1"/>
        <rFont val="Tahoma"/>
        <family val="2"/>
      </rPr>
      <t xml:space="preserve"> - 10) 10</t>
    </r>
    <r>
      <rPr>
        <vertAlign val="superscript"/>
        <sz val="11"/>
        <color theme="1"/>
        <rFont val="Tahoma"/>
        <family val="2"/>
      </rPr>
      <t>-6</t>
    </r>
    <r>
      <rPr>
        <sz val="11"/>
        <color theme="1"/>
        <rFont val="Tahoma"/>
        <family val="2"/>
      </rPr>
      <t xml:space="preserve"> =</t>
    </r>
  </si>
  <si>
    <r>
      <rPr>
        <sz val="11"/>
        <color theme="1"/>
        <rFont val="Symbol"/>
        <family val="1"/>
        <charset val="2"/>
      </rPr>
      <t>b</t>
    </r>
    <r>
      <rPr>
        <vertAlign val="subscript"/>
        <sz val="11"/>
        <color theme="1"/>
        <rFont val="Tahoma"/>
        <family val="2"/>
      </rPr>
      <t>as</t>
    </r>
    <r>
      <rPr>
        <sz val="11"/>
        <color theme="1"/>
        <rFont val="Tahoma"/>
        <family val="2"/>
      </rPr>
      <t>(t) = 1 - exp(-0.2t</t>
    </r>
    <r>
      <rPr>
        <vertAlign val="superscript"/>
        <sz val="11"/>
        <color theme="1"/>
        <rFont val="Tahoma"/>
        <family val="2"/>
      </rPr>
      <t>0.5</t>
    </r>
    <r>
      <rPr>
        <sz val="11"/>
        <color theme="1"/>
        <rFont val="Tahoma"/>
        <family val="2"/>
      </rPr>
      <t>) =</t>
    </r>
  </si>
  <si>
    <t>The development of the drying shrinkage strain in time follows from</t>
  </si>
  <si>
    <r>
      <t>ε</t>
    </r>
    <r>
      <rPr>
        <vertAlign val="subscript"/>
        <sz val="11"/>
        <color theme="1"/>
        <rFont val="Tahoma"/>
        <family val="2"/>
      </rPr>
      <t>cd</t>
    </r>
    <r>
      <rPr>
        <sz val="11"/>
        <color theme="1"/>
        <rFont val="Tahoma"/>
        <family val="2"/>
      </rPr>
      <t>(t) = β</t>
    </r>
    <r>
      <rPr>
        <vertAlign val="subscript"/>
        <sz val="11"/>
        <color theme="1"/>
        <rFont val="Tahoma"/>
        <family val="2"/>
      </rPr>
      <t>ds</t>
    </r>
    <r>
      <rPr>
        <sz val="11"/>
        <color theme="1"/>
        <rFont val="Tahoma"/>
        <family val="2"/>
      </rPr>
      <t>(t, ts) ⋅ k</t>
    </r>
    <r>
      <rPr>
        <vertAlign val="subscript"/>
        <sz val="11"/>
        <color theme="1"/>
        <rFont val="Tahoma"/>
        <family val="2"/>
      </rPr>
      <t>h</t>
    </r>
    <r>
      <rPr>
        <sz val="11"/>
        <color theme="1"/>
        <rFont val="Tahoma"/>
        <family val="2"/>
      </rPr>
      <t xml:space="preserve"> ⋅ ε</t>
    </r>
    <r>
      <rPr>
        <vertAlign val="subscript"/>
        <sz val="11"/>
        <color theme="1"/>
        <rFont val="Tahoma"/>
        <family val="2"/>
      </rPr>
      <t>cd,0</t>
    </r>
    <r>
      <rPr>
        <sz val="11"/>
        <color theme="1"/>
        <rFont val="Tahoma"/>
        <family val="2"/>
      </rPr>
      <t xml:space="preserve"> =</t>
    </r>
  </si>
  <si>
    <r>
      <t>h</t>
    </r>
    <r>
      <rPr>
        <vertAlign val="subscript"/>
        <sz val="11"/>
        <color theme="1"/>
        <rFont val="Tahoma"/>
        <family val="2"/>
      </rPr>
      <t>0</t>
    </r>
    <r>
      <rPr>
        <sz val="11"/>
        <color theme="1"/>
        <rFont val="Tahoma"/>
        <family val="2"/>
      </rPr>
      <t xml:space="preserve"> =</t>
    </r>
  </si>
  <si>
    <r>
      <t>k</t>
    </r>
    <r>
      <rPr>
        <vertAlign val="subscript"/>
        <sz val="11"/>
        <color theme="1"/>
        <rFont val="Tahoma"/>
        <family val="2"/>
      </rPr>
      <t>h</t>
    </r>
    <r>
      <rPr>
        <sz val="11"/>
        <color theme="1"/>
        <rFont val="Tahoma"/>
        <family val="2"/>
      </rPr>
      <t xml:space="preserve"> =</t>
    </r>
  </si>
  <si>
    <r>
      <t>h</t>
    </r>
    <r>
      <rPr>
        <vertAlign val="subscript"/>
        <sz val="11"/>
        <rFont val="Verdana"/>
        <family val="2"/>
      </rPr>
      <t>0</t>
    </r>
  </si>
  <si>
    <r>
      <t>k</t>
    </r>
    <r>
      <rPr>
        <vertAlign val="subscript"/>
        <sz val="11"/>
        <rFont val="Verdana"/>
        <family val="2"/>
      </rPr>
      <t>h</t>
    </r>
  </si>
  <si>
    <r>
      <t xml:space="preserve">co ngót </t>
    </r>
    <r>
      <rPr>
        <sz val="11"/>
        <color rgb="FFC00000"/>
        <rFont val="Tahoma"/>
        <family val="2"/>
      </rPr>
      <t>khô</t>
    </r>
  </si>
  <si>
    <r>
      <t xml:space="preserve">co ngót </t>
    </r>
    <r>
      <rPr>
        <sz val="11"/>
        <color rgb="FFC00000"/>
        <rFont val="Tahoma"/>
        <family val="2"/>
      </rPr>
      <t>nội sinh</t>
    </r>
  </si>
  <si>
    <t>Tham khảo phụ lục B EC2</t>
  </si>
  <si>
    <t>(B.11)</t>
  </si>
  <si>
    <t>(B.12)</t>
  </si>
  <si>
    <t>RH is the relative humidity</t>
  </si>
  <si>
    <t>of the ambient environment in %</t>
  </si>
  <si>
    <r>
      <t>The values of the total shrinkage strain is ε</t>
    </r>
    <r>
      <rPr>
        <vertAlign val="subscript"/>
        <sz val="11"/>
        <color theme="1"/>
        <rFont val="Tahoma"/>
        <family val="2"/>
      </rPr>
      <t>cd</t>
    </r>
    <r>
      <rPr>
        <sz val="11"/>
        <color theme="1"/>
        <rFont val="Tahoma"/>
        <family val="2"/>
      </rPr>
      <t xml:space="preserve">(t) + </t>
    </r>
    <r>
      <rPr>
        <sz val="11"/>
        <color theme="1"/>
        <rFont val="Symbol"/>
        <family val="1"/>
        <charset val="2"/>
      </rPr>
      <t>e</t>
    </r>
    <r>
      <rPr>
        <vertAlign val="subscript"/>
        <sz val="11"/>
        <color theme="1"/>
        <rFont val="Tahoma"/>
        <family val="2"/>
      </rPr>
      <t>ca</t>
    </r>
    <r>
      <rPr>
        <sz val="11"/>
        <color theme="1"/>
        <rFont val="Tahoma"/>
        <family val="2"/>
      </rPr>
      <t>(t) =</t>
    </r>
  </si>
  <si>
    <r>
      <t>nội suy từ h</t>
    </r>
    <r>
      <rPr>
        <vertAlign val="subscript"/>
        <sz val="11"/>
        <color theme="1"/>
        <rFont val="Tahoma"/>
        <family val="2"/>
      </rPr>
      <t>0</t>
    </r>
  </si>
  <si>
    <r>
      <t>h</t>
    </r>
    <r>
      <rPr>
        <vertAlign val="subscript"/>
        <sz val="11"/>
        <rFont val="Tahoma"/>
        <family val="2"/>
      </rPr>
      <t>0</t>
    </r>
  </si>
  <si>
    <r>
      <t>k</t>
    </r>
    <r>
      <rPr>
        <vertAlign val="subscript"/>
        <sz val="11"/>
        <rFont val="Tahoma"/>
        <family val="2"/>
      </rPr>
      <t>h</t>
    </r>
  </si>
  <si>
    <r>
      <t>β</t>
    </r>
    <r>
      <rPr>
        <vertAlign val="subscript"/>
        <sz val="11"/>
        <color theme="1"/>
        <rFont val="Tahoma"/>
        <family val="2"/>
      </rPr>
      <t>ds</t>
    </r>
    <r>
      <rPr>
        <sz val="11"/>
        <color theme="1"/>
        <rFont val="Tahoma"/>
        <family val="2"/>
      </rPr>
      <t>(t, t</t>
    </r>
    <r>
      <rPr>
        <vertAlign val="subscript"/>
        <sz val="11"/>
        <color theme="1"/>
        <rFont val="Tahoma"/>
        <family val="2"/>
      </rPr>
      <t>s</t>
    </r>
    <r>
      <rPr>
        <sz val="11"/>
        <color theme="1"/>
        <rFont val="Tahoma"/>
        <family val="2"/>
      </rPr>
      <t>) = (t - t</t>
    </r>
    <r>
      <rPr>
        <vertAlign val="subscript"/>
        <sz val="11"/>
        <color theme="1"/>
        <rFont val="Tahoma"/>
        <family val="2"/>
      </rPr>
      <t>s</t>
    </r>
    <r>
      <rPr>
        <sz val="11"/>
        <color theme="1"/>
        <rFont val="Tahoma"/>
        <family val="2"/>
      </rPr>
      <t>) / [(t - t</t>
    </r>
    <r>
      <rPr>
        <vertAlign val="subscript"/>
        <sz val="11"/>
        <color theme="1"/>
        <rFont val="Tahoma"/>
        <family val="2"/>
      </rPr>
      <t>s</t>
    </r>
    <r>
      <rPr>
        <sz val="11"/>
        <color theme="1"/>
        <rFont val="Tahoma"/>
        <family val="2"/>
      </rPr>
      <t>) + 0.04sqrt(h</t>
    </r>
    <r>
      <rPr>
        <vertAlign val="subscript"/>
        <sz val="11"/>
        <color theme="1"/>
        <rFont val="Tahoma"/>
        <family val="2"/>
      </rPr>
      <t>0</t>
    </r>
    <r>
      <rPr>
        <vertAlign val="superscript"/>
        <sz val="11"/>
        <color theme="1"/>
        <rFont val="Tahoma"/>
        <family val="2"/>
      </rPr>
      <t>3</t>
    </r>
    <r>
      <rPr>
        <sz val="11"/>
        <color theme="1"/>
        <rFont val="Tahoma"/>
        <family val="2"/>
      </rPr>
      <t>)] =</t>
    </r>
  </si>
  <si>
    <t>Determining the shrinkage strain</t>
  </si>
  <si>
    <r>
      <t xml:space="preserve">tuổi của bê tông tạo thời điểm chất tải </t>
    </r>
    <r>
      <rPr>
        <sz val="11"/>
        <color theme="1"/>
        <rFont val="Symbol"/>
        <family val="1"/>
        <charset val="2"/>
      </rPr>
      <t xml:space="preserve"> £</t>
    </r>
    <r>
      <rPr>
        <sz val="11"/>
        <color theme="1"/>
        <rFont val="Tahoma"/>
        <family val="2"/>
      </rPr>
      <t>100 là đủ chính xác</t>
    </r>
  </si>
  <si>
    <t>C60/75</t>
  </si>
  <si>
    <t>C70/85</t>
  </si>
  <si>
    <t>C80/95</t>
  </si>
  <si>
    <t>C90/105</t>
  </si>
  <si>
    <t>=&gt;</t>
  </si>
  <si>
    <t>Tham khảo phụ lục B1 EC2</t>
  </si>
  <si>
    <r>
      <t>Cấp R</t>
    </r>
    <r>
      <rPr>
        <b/>
        <sz val="11"/>
        <rFont val="Tahoma"/>
        <family val="2"/>
      </rPr>
      <t xml:space="preserve"> </t>
    </r>
    <r>
      <rPr>
        <sz val="11"/>
        <rFont val="Tahoma"/>
        <family val="2"/>
      </rPr>
      <t>là cấp phổ biến trong các trường hợp thông thường</t>
    </r>
  </si>
  <si>
    <t>Phụ thuộc vào những giả sử được sử dụng trong thiết kế, có thể cần để xác định hệ số từ biến hiệu quả hef (ref. Cl. 3.1.4 &amp; 5.8.4). Toán đồ được cung cấp trong tiêu chuẩn Eurocode (Hình 3.1) có cần đến cường độ xi măng; tuy nhiên, ở giai đoạn thiết kế, thường không chắc chắn loại lớp nào được áp dụng. 
Nhìn chung, lớp R cần được giả thiết.  
Khi xỉ lò cao kết tinh ở mặt đất (ggbs) vượt quá 35% phần xi măng kết hợp hoặc xỉ nhiên liệu nát vụn (pfa) vượt quá 20% xi măng kết hợp thì loại N có thể được giả sử. 
Khi ggbs vượt quá 65% hoặc pfa vượt quá 35%, lớp S có thể được giả sử.</t>
  </si>
  <si>
    <t>days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</si>
</sst>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409]mmm\-yy;@"/>
    <numFmt numFmtId="166" formatCode="0.00000"/>
    <numFmt numFmtId="167" formatCode="0.0E+00"/>
    <numFmt numFmtId="168" formatCode="0\ &quot;years&quot;"/>
  </numFmts>
  <fonts count="49" x14ac:knownFonts="1">
    <font>
      <sz val="11"/>
      <color theme="1"/>
      <name val="Calibri"/>
      <family val="2"/>
      <scheme val="minor"/>
    </font>
    <font>
      <sz val="11"/>
      <color theme="1"/>
      <name val="Tahoma"/>
      <family val="2"/>
    </font>
    <font>
      <sz val="11"/>
      <color theme="1"/>
      <name val="Tahoma"/>
      <family val="2"/>
    </font>
    <font>
      <sz val="11"/>
      <color theme="1"/>
      <name val="Tahoma"/>
      <family val="2"/>
    </font>
    <font>
      <sz val="11"/>
      <color theme="1"/>
      <name val="Tahoma"/>
      <family val="2"/>
    </font>
    <font>
      <sz val="11"/>
      <color theme="1"/>
      <name val="Tahoma"/>
      <family val="2"/>
    </font>
    <font>
      <sz val="11"/>
      <color theme="1"/>
      <name val="Tahoma"/>
      <family val="2"/>
    </font>
    <font>
      <sz val="11"/>
      <color theme="1"/>
      <name val="Tahoma"/>
      <family val="2"/>
    </font>
    <font>
      <sz val="11"/>
      <color theme="1"/>
      <name val="Tahoma"/>
      <family val="2"/>
    </font>
    <font>
      <sz val="11"/>
      <color theme="1"/>
      <name val="Tahoma"/>
      <family val="2"/>
    </font>
    <font>
      <sz val="11"/>
      <color theme="1"/>
      <name val="Tahoma"/>
      <family val="2"/>
    </font>
    <font>
      <sz val="12"/>
      <name val="Arial"/>
      <family val="2"/>
    </font>
    <font>
      <b/>
      <sz val="9"/>
      <name val="Tahoma"/>
      <family val="2"/>
    </font>
    <font>
      <b/>
      <sz val="9"/>
      <name val="Symbol"/>
      <family val="1"/>
      <charset val="2"/>
    </font>
    <font>
      <sz val="10"/>
      <name val="Arial"/>
      <family val="2"/>
    </font>
    <font>
      <sz val="11"/>
      <name val="Verdana"/>
      <family val="2"/>
    </font>
    <font>
      <sz val="11"/>
      <color indexed="12"/>
      <name val="Verdana"/>
      <family val="2"/>
    </font>
    <font>
      <b/>
      <sz val="11"/>
      <name val="Verdana"/>
      <family val="2"/>
    </font>
    <font>
      <vertAlign val="subscript"/>
      <sz val="11"/>
      <name val="Verdana"/>
      <family val="2"/>
    </font>
    <font>
      <vertAlign val="superscript"/>
      <sz val="11"/>
      <name val="Verdana"/>
      <family val="2"/>
    </font>
    <font>
      <b/>
      <vertAlign val="superscript"/>
      <sz val="11"/>
      <name val="Verdana"/>
      <family val="2"/>
    </font>
    <font>
      <b/>
      <vertAlign val="subscript"/>
      <sz val="11"/>
      <name val="Verdana"/>
      <family val="2"/>
    </font>
    <font>
      <sz val="11"/>
      <name val="Tahoma"/>
      <family val="2"/>
    </font>
    <font>
      <b/>
      <sz val="11"/>
      <name val="Tahoma"/>
      <family val="2"/>
    </font>
    <font>
      <sz val="11"/>
      <color rgb="FF0000FF"/>
      <name val="Tahoma"/>
      <family val="2"/>
    </font>
    <font>
      <vertAlign val="subscript"/>
      <sz val="11"/>
      <color theme="1"/>
      <name val="Tahoma"/>
      <family val="2"/>
    </font>
    <font>
      <b/>
      <sz val="9"/>
      <color theme="1"/>
      <name val="Tahoma"/>
      <family val="2"/>
    </font>
    <font>
      <sz val="11"/>
      <name val="Symbol"/>
      <family val="1"/>
      <charset val="2"/>
    </font>
    <font>
      <sz val="13"/>
      <name val="Tahoma"/>
      <family val="2"/>
    </font>
    <font>
      <b/>
      <vertAlign val="superscript"/>
      <sz val="11"/>
      <name val="Tahoma"/>
      <family val="2"/>
    </font>
    <font>
      <b/>
      <vertAlign val="subscript"/>
      <sz val="11"/>
      <name val="Tahoma"/>
      <family val="2"/>
    </font>
    <font>
      <b/>
      <sz val="11"/>
      <color rgb="FFC00000"/>
      <name val="Tahoma"/>
      <family val="2"/>
    </font>
    <font>
      <sz val="11"/>
      <color rgb="FFC00000"/>
      <name val="Tahoma"/>
      <family val="2"/>
    </font>
    <font>
      <i/>
      <sz val="11"/>
      <name val="Tahoma"/>
      <family val="2"/>
    </font>
    <font>
      <b/>
      <sz val="9"/>
      <color indexed="81"/>
      <name val="Tahoma"/>
      <family val="2"/>
    </font>
    <font>
      <sz val="9"/>
      <color indexed="81"/>
      <name val="Tahoma"/>
      <family val="2"/>
    </font>
    <font>
      <b/>
      <sz val="11"/>
      <color rgb="FF0000FF"/>
      <name val="Tahoma"/>
      <family val="2"/>
    </font>
    <font>
      <b/>
      <sz val="12"/>
      <name val="Tahoma"/>
      <family val="2"/>
    </font>
    <font>
      <sz val="9.35"/>
      <name val="Tahoma"/>
      <family val="2"/>
    </font>
    <font>
      <i/>
      <sz val="11"/>
      <color theme="1"/>
      <name val="Tahoma"/>
      <family val="2"/>
    </font>
    <font>
      <b/>
      <u/>
      <sz val="11"/>
      <name val="Tahoma"/>
      <family val="2"/>
    </font>
    <font>
      <sz val="11"/>
      <color indexed="12"/>
      <name val="Tahoma"/>
      <family val="2"/>
    </font>
    <font>
      <vertAlign val="superscript"/>
      <sz val="11"/>
      <color theme="1"/>
      <name val="Tahoma"/>
      <family val="2"/>
    </font>
    <font>
      <b/>
      <sz val="11"/>
      <color theme="1"/>
      <name val="Tahoma"/>
      <family val="2"/>
    </font>
    <font>
      <sz val="11"/>
      <color theme="1"/>
      <name val="Symbol"/>
      <family val="1"/>
      <charset val="2"/>
    </font>
    <font>
      <i/>
      <sz val="11"/>
      <color theme="1"/>
      <name val="Symbol"/>
      <family val="1"/>
      <charset val="2"/>
    </font>
    <font>
      <vertAlign val="subscript"/>
      <sz val="11"/>
      <name val="Tahoma"/>
      <family val="2"/>
    </font>
    <font>
      <b/>
      <sz val="11"/>
      <color rgb="FFFF0000"/>
      <name val="Tahoma"/>
      <family val="2"/>
    </font>
    <font>
      <sz val="9"/>
      <color indexed="10"/>
      <name val="Tahoma"/>
      <family val="2"/>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s>
  <cellStyleXfs count="3">
    <xf numFmtId="0" fontId="0" fillId="0" borderId="0"/>
    <xf numFmtId="0" fontId="11" fillId="0" borderId="0"/>
    <xf numFmtId="0" fontId="14" fillId="0" borderId="0"/>
  </cellStyleXfs>
  <cellXfs count="201">
    <xf numFmtId="0" fontId="0" fillId="0" borderId="0" xfId="0"/>
    <xf numFmtId="0" fontId="15" fillId="0" borderId="0" xfId="2" applyFont="1"/>
    <xf numFmtId="0" fontId="15" fillId="0" borderId="0" xfId="2" applyFont="1" applyBorder="1"/>
    <xf numFmtId="0" fontId="17" fillId="0" borderId="0" xfId="2" applyFont="1"/>
    <xf numFmtId="0" fontId="15" fillId="0" borderId="0" xfId="2" applyFont="1" applyBorder="1" applyAlignment="1">
      <alignment vertical="center" wrapText="1"/>
    </xf>
    <xf numFmtId="0" fontId="15" fillId="0" borderId="7" xfId="2" applyFont="1" applyBorder="1" applyAlignment="1">
      <alignment horizontal="center"/>
    </xf>
    <xf numFmtId="0" fontId="15" fillId="0" borderId="0" xfId="2" applyFont="1" applyAlignment="1">
      <alignment horizontal="center"/>
    </xf>
    <xf numFmtId="2" fontId="15" fillId="0" borderId="7" xfId="2" applyNumberFormat="1" applyFont="1" applyBorder="1" applyAlignment="1">
      <alignment horizontal="center" vertical="center"/>
    </xf>
    <xf numFmtId="1" fontId="15" fillId="0" borderId="7" xfId="2" applyNumberFormat="1" applyFont="1" applyBorder="1" applyAlignment="1">
      <alignment horizontal="center" vertical="center"/>
    </xf>
    <xf numFmtId="0" fontId="17" fillId="0" borderId="7" xfId="2" applyFont="1" applyBorder="1" applyAlignment="1">
      <alignment horizontal="center"/>
    </xf>
    <xf numFmtId="164" fontId="15" fillId="0" borderId="7" xfId="2" applyNumberFormat="1" applyFont="1" applyBorder="1" applyAlignment="1">
      <alignment horizontal="center"/>
    </xf>
    <xf numFmtId="2" fontId="15" fillId="0" borderId="7" xfId="2" applyNumberFormat="1" applyFont="1" applyBorder="1" applyAlignment="1">
      <alignment horizontal="center"/>
    </xf>
    <xf numFmtId="2" fontId="15" fillId="0" borderId="7" xfId="2" applyNumberFormat="1" applyFont="1" applyBorder="1"/>
    <xf numFmtId="2" fontId="15" fillId="0" borderId="0" xfId="2" applyNumberFormat="1" applyFont="1"/>
    <xf numFmtId="0" fontId="17" fillId="2" borderId="7" xfId="2" applyFont="1" applyFill="1" applyBorder="1" applyAlignment="1">
      <alignment horizontal="center"/>
    </xf>
    <xf numFmtId="164" fontId="15" fillId="2" borderId="7" xfId="2" applyNumberFormat="1" applyFont="1" applyFill="1" applyBorder="1" applyAlignment="1">
      <alignment horizontal="center"/>
    </xf>
    <xf numFmtId="2" fontId="15" fillId="2" borderId="7" xfId="2" applyNumberFormat="1" applyFont="1" applyFill="1" applyBorder="1" applyAlignment="1">
      <alignment horizontal="center"/>
    </xf>
    <xf numFmtId="2" fontId="15" fillId="2" borderId="7" xfId="2" applyNumberFormat="1" applyFont="1" applyFill="1" applyBorder="1"/>
    <xf numFmtId="0" fontId="17" fillId="0" borderId="7" xfId="2" quotePrefix="1" applyNumberFormat="1" applyFont="1" applyBorder="1" applyAlignment="1">
      <alignment horizontal="center" vertical="center"/>
    </xf>
    <xf numFmtId="2" fontId="15" fillId="2" borderId="7" xfId="2" applyNumberFormat="1" applyFont="1" applyFill="1" applyBorder="1" applyAlignment="1">
      <alignment horizontal="center" vertical="center"/>
    </xf>
    <xf numFmtId="0" fontId="15" fillId="0" borderId="7" xfId="2" applyFont="1" applyBorder="1" applyAlignment="1">
      <alignment horizontal="center" vertical="center"/>
    </xf>
    <xf numFmtId="0" fontId="17" fillId="0" borderId="7" xfId="2" applyFont="1" applyBorder="1" applyAlignment="1">
      <alignment horizontal="center" vertical="center"/>
    </xf>
    <xf numFmtId="0" fontId="17" fillId="0" borderId="0" xfId="2" applyFont="1" applyAlignment="1">
      <alignment horizontal="center" vertical="center"/>
    </xf>
    <xf numFmtId="0" fontId="15" fillId="0" borderId="0" xfId="2" applyFont="1" applyAlignment="1">
      <alignment horizontal="center" vertical="center"/>
    </xf>
    <xf numFmtId="2" fontId="17" fillId="0" borderId="7" xfId="2" applyNumberFormat="1" applyFont="1" applyBorder="1" applyAlignment="1">
      <alignment horizontal="center" vertical="center"/>
    </xf>
    <xf numFmtId="0" fontId="15" fillId="0" borderId="7" xfId="0" applyFont="1" applyBorder="1" applyAlignment="1" applyProtection="1">
      <alignment horizontal="center"/>
      <protection hidden="1"/>
    </xf>
    <xf numFmtId="0" fontId="15" fillId="0" borderId="7" xfId="0" applyFont="1" applyBorder="1" applyAlignment="1" applyProtection="1">
      <alignment horizontal="center" vertical="center"/>
      <protection hidden="1"/>
    </xf>
    <xf numFmtId="0" fontId="15" fillId="0" borderId="7" xfId="0" applyFont="1" applyBorder="1" applyAlignment="1" applyProtection="1">
      <alignment horizontal="left"/>
      <protection hidden="1"/>
    </xf>
    <xf numFmtId="0" fontId="24" fillId="0" borderId="0" xfId="0" applyFont="1" applyAlignment="1">
      <alignment horizontal="center" vertical="center"/>
    </xf>
    <xf numFmtId="0" fontId="22" fillId="0" borderId="0" xfId="0" applyFont="1" applyAlignment="1">
      <alignment horizontal="center" vertical="center"/>
    </xf>
    <xf numFmtId="0" fontId="28" fillId="0" borderId="0" xfId="0" applyFont="1"/>
    <xf numFmtId="0" fontId="23" fillId="3" borderId="8" xfId="0" applyFont="1" applyFill="1" applyBorder="1" applyAlignment="1">
      <alignment horizontal="center" vertical="center"/>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164" fontId="31" fillId="0" borderId="0" xfId="0" applyNumberFormat="1" applyFont="1" applyAlignment="1">
      <alignment horizontal="center" vertical="center"/>
    </xf>
    <xf numFmtId="0" fontId="23" fillId="4" borderId="12" xfId="0" applyFont="1" applyFill="1" applyBorder="1" applyAlignment="1">
      <alignment horizontal="center" vertical="center"/>
    </xf>
    <xf numFmtId="0" fontId="22" fillId="4" borderId="10" xfId="0" applyFont="1" applyFill="1" applyBorder="1" applyAlignment="1">
      <alignment horizontal="center" vertical="center"/>
    </xf>
    <xf numFmtId="0" fontId="32" fillId="4" borderId="12" xfId="0" applyFont="1" applyFill="1" applyBorder="1" applyAlignment="1">
      <alignment horizontal="center" vertical="center"/>
    </xf>
    <xf numFmtId="2" fontId="22" fillId="4" borderId="11" xfId="0" applyNumberFormat="1" applyFont="1" applyFill="1" applyBorder="1" applyAlignment="1">
      <alignment horizontal="center" vertical="center"/>
    </xf>
    <xf numFmtId="166" fontId="22" fillId="4" borderId="7" xfId="0" applyNumberFormat="1" applyFont="1" applyFill="1" applyBorder="1" applyAlignment="1">
      <alignment horizontal="center" vertical="center"/>
    </xf>
    <xf numFmtId="1" fontId="22" fillId="4" borderId="9" xfId="0" applyNumberFormat="1" applyFont="1" applyFill="1" applyBorder="1" applyAlignment="1">
      <alignment horizontal="center" vertical="center"/>
    </xf>
    <xf numFmtId="2" fontId="31" fillId="4" borderId="12" xfId="0" applyNumberFormat="1" applyFont="1" applyFill="1" applyBorder="1" applyAlignment="1">
      <alignment horizontal="center" vertical="center"/>
    </xf>
    <xf numFmtId="0" fontId="33" fillId="4" borderId="11"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7" xfId="0" quotePrefix="1" applyFont="1" applyFill="1" applyBorder="1" applyAlignment="1">
      <alignment horizontal="center" vertical="center"/>
    </xf>
    <xf numFmtId="16" fontId="22" fillId="4" borderId="7" xfId="0" quotePrefix="1" applyNumberFormat="1" applyFont="1" applyFill="1" applyBorder="1" applyAlignment="1">
      <alignment horizontal="center" vertical="center"/>
    </xf>
    <xf numFmtId="0" fontId="23" fillId="5" borderId="12" xfId="0" applyFont="1" applyFill="1" applyBorder="1" applyAlignment="1">
      <alignment horizontal="center" vertical="center"/>
    </xf>
    <xf numFmtId="0" fontId="22" fillId="5" borderId="10" xfId="0" applyFont="1" applyFill="1" applyBorder="1" applyAlignment="1">
      <alignment horizontal="center" vertical="center"/>
    </xf>
    <xf numFmtId="0" fontId="32" fillId="5" borderId="12" xfId="0" applyFont="1" applyFill="1" applyBorder="1" applyAlignment="1">
      <alignment horizontal="center" vertical="center"/>
    </xf>
    <xf numFmtId="2" fontId="22" fillId="5" borderId="11" xfId="0" applyNumberFormat="1" applyFont="1" applyFill="1" applyBorder="1" applyAlignment="1">
      <alignment horizontal="center" vertical="center"/>
    </xf>
    <xf numFmtId="166" fontId="22" fillId="5" borderId="7" xfId="0" applyNumberFormat="1" applyFont="1" applyFill="1" applyBorder="1" applyAlignment="1">
      <alignment horizontal="center" vertical="center"/>
    </xf>
    <xf numFmtId="1" fontId="22" fillId="5" borderId="9" xfId="0" applyNumberFormat="1" applyFont="1" applyFill="1" applyBorder="1" applyAlignment="1">
      <alignment horizontal="center" vertical="center"/>
    </xf>
    <xf numFmtId="2" fontId="31" fillId="5" borderId="12" xfId="0" applyNumberFormat="1" applyFont="1" applyFill="1" applyBorder="1" applyAlignment="1">
      <alignment horizontal="center" vertical="center"/>
    </xf>
    <xf numFmtId="0" fontId="33" fillId="5" borderId="11"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7" xfId="0" quotePrefix="1" applyFont="1" applyFill="1" applyBorder="1" applyAlignment="1">
      <alignment horizontal="center" vertical="center"/>
    </xf>
    <xf numFmtId="16" fontId="22" fillId="5" borderId="7" xfId="0" applyNumberFormat="1" applyFont="1" applyFill="1" applyBorder="1" applyAlignment="1">
      <alignment horizontal="center" vertical="center"/>
    </xf>
    <xf numFmtId="0" fontId="22" fillId="4" borderId="11" xfId="0" applyFont="1" applyFill="1" applyBorder="1" applyAlignment="1">
      <alignment horizontal="center" vertical="center"/>
    </xf>
    <xf numFmtId="16" fontId="22" fillId="5" borderId="7" xfId="0" quotePrefix="1" applyNumberFormat="1" applyFont="1" applyFill="1" applyBorder="1" applyAlignment="1">
      <alignment horizontal="center" vertical="center"/>
    </xf>
    <xf numFmtId="0" fontId="7" fillId="0" borderId="0" xfId="0" quotePrefix="1" applyFont="1" applyAlignment="1">
      <alignment vertical="center"/>
    </xf>
    <xf numFmtId="0" fontId="7" fillId="0" borderId="0" xfId="0" applyFont="1"/>
    <xf numFmtId="0" fontId="7" fillId="0" borderId="0" xfId="0" applyFont="1" applyAlignment="1">
      <alignment vertical="center"/>
    </xf>
    <xf numFmtId="0" fontId="7" fillId="0" borderId="0" xfId="0" applyFont="1" applyAlignment="1">
      <alignment horizontal="right" vertical="center"/>
    </xf>
    <xf numFmtId="0" fontId="24" fillId="0" borderId="0" xfId="0" applyFont="1" applyAlignment="1">
      <alignment horizontal="left" vertical="center"/>
    </xf>
    <xf numFmtId="0" fontId="12" fillId="0" borderId="0" xfId="1" applyFont="1" applyBorder="1" applyAlignment="1" applyProtection="1">
      <alignment vertical="center"/>
      <protection hidden="1"/>
    </xf>
    <xf numFmtId="0" fontId="10" fillId="0" borderId="0" xfId="0" applyFont="1" applyAlignment="1" applyProtection="1">
      <alignment vertical="center"/>
      <protection hidden="1"/>
    </xf>
    <xf numFmtId="0" fontId="10" fillId="0" borderId="0" xfId="0" applyFont="1" applyBorder="1" applyAlignment="1" applyProtection="1">
      <alignment vertical="center"/>
      <protection hidden="1"/>
    </xf>
    <xf numFmtId="165" fontId="10"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24" fillId="0" borderId="0" xfId="0" quotePrefix="1" applyFont="1" applyBorder="1" applyAlignment="1" applyProtection="1">
      <alignment horizontal="center" vertical="center"/>
      <protection hidden="1"/>
    </xf>
    <xf numFmtId="0" fontId="10" fillId="0" borderId="3" xfId="0" applyFont="1" applyBorder="1" applyAlignment="1" applyProtection="1">
      <alignment vertical="center"/>
      <protection hidden="1"/>
    </xf>
    <xf numFmtId="0" fontId="10" fillId="0" borderId="5" xfId="0" applyFont="1" applyBorder="1" applyAlignment="1" applyProtection="1">
      <alignment vertical="center"/>
      <protection hidden="1"/>
    </xf>
    <xf numFmtId="0" fontId="10" fillId="0" borderId="1" xfId="0" applyFont="1" applyBorder="1" applyAlignment="1" applyProtection="1">
      <alignment vertical="center"/>
      <protection hidden="1"/>
    </xf>
    <xf numFmtId="0" fontId="9" fillId="0" borderId="0" xfId="0" quotePrefix="1" applyFont="1" applyAlignment="1" applyProtection="1">
      <alignment vertical="center"/>
      <protection hidden="1"/>
    </xf>
    <xf numFmtId="0" fontId="8" fillId="0" borderId="0" xfId="0" applyFont="1" applyAlignment="1" applyProtection="1">
      <alignment horizontal="right" vertical="center"/>
      <protection hidden="1"/>
    </xf>
    <xf numFmtId="0" fontId="22" fillId="0" borderId="0" xfId="0"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0" xfId="0" applyFont="1" applyAlignment="1" applyProtection="1">
      <alignment horizontal="right" vertical="center"/>
      <protection hidden="1"/>
    </xf>
    <xf numFmtId="0" fontId="7" fillId="0" borderId="0" xfId="0" applyFont="1" applyAlignment="1" applyProtection="1">
      <alignment vertical="center"/>
      <protection hidden="1"/>
    </xf>
    <xf numFmtId="0" fontId="8" fillId="0" borderId="0" xfId="0" quotePrefix="1" applyFont="1" applyAlignment="1" applyProtection="1">
      <alignment vertical="center"/>
      <protection hidden="1"/>
    </xf>
    <xf numFmtId="0" fontId="10"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36" fillId="0" borderId="0" xfId="0" applyFont="1" applyAlignment="1" applyProtection="1">
      <alignment vertical="center"/>
      <protection hidden="1"/>
    </xf>
    <xf numFmtId="2" fontId="10" fillId="0" borderId="0" xfId="0" applyNumberFormat="1" applyFont="1" applyAlignment="1" applyProtection="1">
      <alignment horizontal="center" vertical="center"/>
      <protection hidden="1"/>
    </xf>
    <xf numFmtId="2" fontId="8" fillId="0" borderId="0" xfId="0" applyNumberFormat="1" applyFont="1" applyAlignment="1" applyProtection="1">
      <alignment horizontal="center" vertical="center"/>
      <protection hidden="1"/>
    </xf>
    <xf numFmtId="1" fontId="10" fillId="0" borderId="0" xfId="0" applyNumberFormat="1" applyFont="1" applyAlignment="1" applyProtection="1">
      <alignment horizontal="center" vertical="center"/>
      <protection hidden="1"/>
    </xf>
    <xf numFmtId="1" fontId="32" fillId="0" borderId="0" xfId="0" applyNumberFormat="1"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24" fillId="0" borderId="0" xfId="0" applyFont="1" applyAlignment="1" applyProtection="1">
      <alignment horizontal="center" vertical="center"/>
      <protection locked="0" hidden="1"/>
    </xf>
    <xf numFmtId="1" fontId="24" fillId="0" borderId="0" xfId="0" applyNumberFormat="1" applyFont="1" applyAlignment="1" applyProtection="1">
      <alignment horizontal="center" vertical="center"/>
      <protection locked="0" hidden="1"/>
    </xf>
    <xf numFmtId="0" fontId="36" fillId="0" borderId="0" xfId="0" applyFont="1" applyAlignment="1" applyProtection="1">
      <alignment horizontal="center" vertical="center"/>
      <protection locked="0" hidden="1"/>
    </xf>
    <xf numFmtId="0" fontId="6" fillId="0" borderId="2" xfId="0" applyFont="1" applyBorder="1" applyAlignment="1" applyProtection="1">
      <alignment vertical="center"/>
      <protection hidden="1"/>
    </xf>
    <xf numFmtId="0" fontId="24" fillId="0" borderId="4" xfId="0" applyFont="1" applyFill="1" applyBorder="1" applyAlignment="1" applyProtection="1">
      <alignment vertical="center" wrapText="1"/>
      <protection locked="0" hidden="1"/>
    </xf>
    <xf numFmtId="0" fontId="24" fillId="0" borderId="3" xfId="0" applyFont="1" applyFill="1" applyBorder="1" applyAlignment="1" applyProtection="1">
      <alignment vertical="center" wrapText="1"/>
      <protection locked="0" hidden="1"/>
    </xf>
    <xf numFmtId="0" fontId="24" fillId="0" borderId="5" xfId="0" applyFont="1" applyFill="1" applyBorder="1" applyAlignment="1" applyProtection="1">
      <alignment vertical="center" wrapText="1"/>
      <protection locked="0" hidden="1"/>
    </xf>
    <xf numFmtId="0" fontId="24" fillId="0" borderId="1" xfId="0" applyFont="1" applyFill="1" applyBorder="1" applyAlignment="1" applyProtection="1">
      <alignment vertical="center" wrapText="1"/>
      <protection locked="0" hidden="1"/>
    </xf>
    <xf numFmtId="0" fontId="24" fillId="0" borderId="6" xfId="0" applyFont="1" applyFill="1" applyBorder="1" applyAlignment="1" applyProtection="1">
      <alignment vertical="center" wrapText="1"/>
      <protection locked="0" hidden="1"/>
    </xf>
    <xf numFmtId="0" fontId="5" fillId="0" borderId="0" xfId="0" applyFont="1" applyAlignment="1" applyProtection="1">
      <alignment vertical="center"/>
      <protection hidden="1"/>
    </xf>
    <xf numFmtId="1" fontId="32" fillId="0" borderId="0" xfId="0" applyNumberFormat="1" applyFont="1" applyAlignment="1" applyProtection="1">
      <alignment vertical="center"/>
      <protection hidden="1"/>
    </xf>
    <xf numFmtId="0" fontId="24" fillId="0" borderId="0" xfId="0" applyFont="1" applyAlignment="1" applyProtection="1">
      <alignment vertical="center"/>
      <protection locked="0" hidden="1"/>
    </xf>
    <xf numFmtId="0" fontId="5" fillId="0" borderId="0" xfId="0" applyFont="1" applyAlignment="1" applyProtection="1">
      <alignment horizontal="right" vertical="center"/>
      <protection hidden="1"/>
    </xf>
    <xf numFmtId="0" fontId="5" fillId="0" borderId="0" xfId="0" applyFont="1" applyAlignment="1">
      <alignment horizontal="right" vertical="center"/>
    </xf>
    <xf numFmtId="0" fontId="5" fillId="0" borderId="0" xfId="0" quotePrefix="1" applyFont="1" applyAlignment="1" applyProtection="1">
      <alignment vertical="center"/>
      <protection hidden="1"/>
    </xf>
    <xf numFmtId="0" fontId="22" fillId="0" borderId="8" xfId="0" applyFont="1" applyFill="1" applyBorder="1" applyAlignment="1" applyProtection="1">
      <alignment horizontal="left" vertical="center"/>
      <protection hidden="1"/>
    </xf>
    <xf numFmtId="0" fontId="10" fillId="0" borderId="4" xfId="0" applyFont="1" applyBorder="1" applyAlignment="1" applyProtection="1">
      <alignment vertical="center"/>
      <protection hidden="1"/>
    </xf>
    <xf numFmtId="0" fontId="22" fillId="0" borderId="15" xfId="0" applyFont="1" applyFill="1" applyBorder="1" applyAlignment="1" applyProtection="1">
      <alignment horizontal="left" vertical="center"/>
      <protection hidden="1"/>
    </xf>
    <xf numFmtId="0" fontId="10" fillId="0" borderId="6" xfId="0" applyFont="1" applyBorder="1" applyAlignment="1" applyProtection="1">
      <alignment vertical="center"/>
      <protection hidden="1"/>
    </xf>
    <xf numFmtId="0" fontId="22" fillId="0" borderId="7" xfId="0" applyFont="1" applyBorder="1" applyAlignment="1" applyProtection="1">
      <alignment horizontal="left" vertical="center"/>
      <protection hidden="1"/>
    </xf>
    <xf numFmtId="0" fontId="24" fillId="0" borderId="10" xfId="0" applyFont="1" applyBorder="1" applyAlignment="1" applyProtection="1">
      <alignment vertical="center"/>
      <protection locked="0" hidden="1"/>
    </xf>
    <xf numFmtId="0" fontId="24" fillId="0" borderId="11" xfId="0" applyFont="1" applyBorder="1" applyAlignment="1" applyProtection="1">
      <alignment vertical="center"/>
      <protection locked="0" hidden="1"/>
    </xf>
    <xf numFmtId="165" fontId="22" fillId="0" borderId="7" xfId="0" applyNumberFormat="1" applyFont="1" applyBorder="1" applyAlignment="1" applyProtection="1">
      <alignment horizontal="left" vertical="center"/>
      <protection hidden="1"/>
    </xf>
    <xf numFmtId="0" fontId="22" fillId="0" borderId="7" xfId="0" quotePrefix="1" applyFont="1" applyBorder="1" applyAlignment="1" applyProtection="1">
      <alignment horizontal="center" vertical="center"/>
      <protection hidden="1"/>
    </xf>
    <xf numFmtId="0" fontId="4" fillId="0" borderId="0" xfId="0" quotePrefix="1" applyFont="1" applyAlignment="1" applyProtection="1">
      <alignment vertical="center"/>
      <protection hidden="1"/>
    </xf>
    <xf numFmtId="0" fontId="22" fillId="6" borderId="5" xfId="0" applyFont="1" applyFill="1" applyBorder="1" applyAlignment="1" applyProtection="1">
      <alignment vertical="center"/>
      <protection hidden="1"/>
    </xf>
    <xf numFmtId="0" fontId="22" fillId="6" borderId="1" xfId="0" applyFont="1" applyFill="1" applyBorder="1" applyAlignment="1" applyProtection="1">
      <alignment vertical="center"/>
      <protection hidden="1"/>
    </xf>
    <xf numFmtId="0" fontId="27" fillId="6" borderId="1" xfId="0" applyFont="1" applyFill="1" applyBorder="1" applyAlignment="1" applyProtection="1">
      <alignment vertical="center"/>
      <protection hidden="1"/>
    </xf>
    <xf numFmtId="0" fontId="10" fillId="6" borderId="6" xfId="0" applyFont="1" applyFill="1" applyBorder="1" applyAlignment="1" applyProtection="1">
      <alignment vertical="center"/>
      <protection hidden="1"/>
    </xf>
    <xf numFmtId="0" fontId="22" fillId="6" borderId="9" xfId="0" applyFont="1" applyFill="1" applyBorder="1" applyAlignment="1" applyProtection="1">
      <alignment vertical="center"/>
      <protection hidden="1"/>
    </xf>
    <xf numFmtId="0" fontId="22" fillId="6" borderId="10" xfId="0" applyFont="1" applyFill="1" applyBorder="1" applyAlignment="1" applyProtection="1">
      <alignment vertical="center"/>
      <protection hidden="1"/>
    </xf>
    <xf numFmtId="0" fontId="22" fillId="6" borderId="10" xfId="0" applyFont="1" applyFill="1" applyBorder="1" applyAlignment="1" applyProtection="1">
      <alignment horizontal="center" vertical="center"/>
      <protection hidden="1"/>
    </xf>
    <xf numFmtId="0" fontId="10" fillId="6" borderId="11" xfId="0" applyFont="1" applyFill="1" applyBorder="1" applyAlignment="1" applyProtection="1">
      <alignment vertical="center"/>
      <protection hidden="1"/>
    </xf>
    <xf numFmtId="0" fontId="22" fillId="0" borderId="2" xfId="0" applyFont="1" applyFill="1" applyBorder="1" applyAlignment="1" applyProtection="1">
      <alignment vertical="center"/>
      <protection locked="0" hidden="1"/>
    </xf>
    <xf numFmtId="0" fontId="22" fillId="0" borderId="9" xfId="0" applyFont="1" applyBorder="1" applyAlignment="1" applyProtection="1">
      <alignment vertical="center"/>
      <protection locked="0" hidden="1"/>
    </xf>
    <xf numFmtId="0" fontId="40" fillId="0" borderId="0" xfId="0" applyFont="1" applyBorder="1" applyAlignment="1" applyProtection="1">
      <alignment vertical="center"/>
      <protection locked="0" hidden="1"/>
    </xf>
    <xf numFmtId="0" fontId="22" fillId="0" borderId="0" xfId="0" applyFont="1" applyBorder="1" applyAlignment="1" applyProtection="1">
      <alignment vertical="center"/>
      <protection locked="0" hidden="1"/>
    </xf>
    <xf numFmtId="0" fontId="4" fillId="0" borderId="0" xfId="0" applyFont="1" applyAlignment="1" applyProtection="1">
      <alignment horizontal="right" vertical="center"/>
      <protection hidden="1"/>
    </xf>
    <xf numFmtId="0" fontId="4" fillId="0" borderId="0" xfId="0" applyFont="1" applyAlignment="1">
      <alignment horizontal="right" vertical="center"/>
    </xf>
    <xf numFmtId="0" fontId="4" fillId="0" borderId="0" xfId="0" applyFont="1" applyAlignment="1" applyProtection="1">
      <alignment vertical="center"/>
      <protection hidden="1"/>
    </xf>
    <xf numFmtId="1" fontId="24" fillId="0" borderId="0" xfId="0" applyNumberFormat="1" applyFont="1" applyAlignment="1" applyProtection="1">
      <alignment horizontal="center" vertical="center"/>
      <protection hidden="1"/>
    </xf>
    <xf numFmtId="0" fontId="24" fillId="0" borderId="0" xfId="0" applyFont="1" applyAlignment="1" applyProtection="1">
      <alignment horizontal="center" vertical="center"/>
      <protection hidden="1"/>
    </xf>
    <xf numFmtId="164" fontId="10" fillId="0" borderId="0" xfId="0" applyNumberFormat="1" applyFont="1" applyAlignment="1" applyProtection="1">
      <alignment horizontal="center" vertical="center"/>
      <protection hidden="1"/>
    </xf>
    <xf numFmtId="0" fontId="43" fillId="0" borderId="0" xfId="0" applyFont="1" applyAlignment="1" applyProtection="1">
      <alignment vertical="center"/>
      <protection hidden="1"/>
    </xf>
    <xf numFmtId="164" fontId="32" fillId="0" borderId="0" xfId="0" applyNumberFormat="1" applyFont="1" applyAlignment="1" applyProtection="1">
      <alignment horizontal="center" vertical="center"/>
      <protection hidden="1"/>
    </xf>
    <xf numFmtId="1" fontId="22" fillId="0" borderId="0" xfId="0" applyNumberFormat="1" applyFont="1" applyAlignment="1" applyProtection="1">
      <alignment horizontal="center" vertical="center"/>
      <protection hidden="1"/>
    </xf>
    <xf numFmtId="164" fontId="22" fillId="0" borderId="0" xfId="0" applyNumberFormat="1" applyFont="1" applyAlignment="1" applyProtection="1">
      <alignment horizontal="center" vertical="center"/>
      <protection hidden="1"/>
    </xf>
    <xf numFmtId="0" fontId="4" fillId="0" borderId="1" xfId="0" applyFont="1" applyBorder="1" applyAlignment="1" applyProtection="1">
      <alignment vertical="center"/>
    </xf>
    <xf numFmtId="0" fontId="4" fillId="0" borderId="1" xfId="0" applyFont="1" applyFill="1" applyBorder="1" applyAlignment="1" applyProtection="1">
      <alignment vertical="center"/>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22" fillId="0" borderId="0" xfId="0" applyFont="1" applyAlignment="1" applyProtection="1">
      <alignment vertical="center"/>
    </xf>
    <xf numFmtId="164" fontId="24" fillId="0" borderId="0" xfId="0" applyNumberFormat="1" applyFont="1" applyAlignment="1" applyProtection="1">
      <alignment horizontal="center" vertical="center"/>
      <protection hidden="1"/>
    </xf>
    <xf numFmtId="2" fontId="22" fillId="0" borderId="0" xfId="0" applyNumberFormat="1" applyFont="1" applyAlignment="1" applyProtection="1">
      <alignment horizontal="center" vertical="center"/>
      <protection hidden="1"/>
    </xf>
    <xf numFmtId="166" fontId="32" fillId="0" borderId="0" xfId="0" applyNumberFormat="1" applyFont="1" applyAlignment="1" applyProtection="1">
      <alignment horizontal="center" vertical="center"/>
      <protection hidden="1"/>
    </xf>
    <xf numFmtId="164" fontId="32" fillId="0" borderId="0" xfId="0" applyNumberFormat="1" applyFont="1" applyAlignment="1" applyProtection="1">
      <alignment vertical="center"/>
      <protection hidden="1"/>
    </xf>
    <xf numFmtId="3" fontId="24" fillId="0" borderId="0" xfId="0" applyNumberFormat="1" applyFont="1" applyAlignment="1" applyProtection="1">
      <alignment vertical="center"/>
      <protection hidden="1"/>
    </xf>
    <xf numFmtId="0" fontId="31"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Border="1" applyAlignment="1" applyProtection="1">
      <alignment vertical="center"/>
      <protection hidden="1"/>
    </xf>
    <xf numFmtId="167" fontId="22" fillId="0" borderId="0" xfId="0" applyNumberFormat="1" applyFont="1" applyAlignment="1" applyProtection="1">
      <alignment horizontal="center" vertical="center"/>
      <protection hidden="1"/>
    </xf>
    <xf numFmtId="166" fontId="22" fillId="0" borderId="0" xfId="0" applyNumberFormat="1" applyFont="1" applyAlignment="1" applyProtection="1">
      <alignment horizontal="center" vertical="center"/>
      <protection hidden="1"/>
    </xf>
    <xf numFmtId="167" fontId="32" fillId="0" borderId="0" xfId="0" applyNumberFormat="1" applyFont="1" applyAlignment="1" applyProtection="1">
      <alignment horizontal="center" vertical="center"/>
      <protection hidden="1"/>
    </xf>
    <xf numFmtId="0" fontId="22" fillId="0" borderId="16"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2" fillId="0" borderId="19" xfId="2" applyFont="1" applyBorder="1" applyAlignment="1">
      <alignment horizontal="center" vertical="center"/>
    </xf>
    <xf numFmtId="0" fontId="22" fillId="0" borderId="20" xfId="2" applyFont="1" applyBorder="1" applyAlignment="1">
      <alignment horizontal="center" vertical="center"/>
    </xf>
    <xf numFmtId="0" fontId="22" fillId="0" borderId="21" xfId="2" applyFont="1" applyBorder="1" applyAlignment="1">
      <alignment horizontal="center" vertical="center"/>
    </xf>
    <xf numFmtId="2" fontId="32" fillId="0" borderId="0" xfId="0" applyNumberFormat="1" applyFont="1" applyAlignment="1" applyProtection="1">
      <alignment horizontal="center" vertical="center"/>
      <protection hidden="1"/>
    </xf>
    <xf numFmtId="0" fontId="22" fillId="0" borderId="22" xfId="2" applyFont="1" applyBorder="1" applyAlignment="1">
      <alignment horizontal="center" vertical="center"/>
    </xf>
    <xf numFmtId="0" fontId="22" fillId="0" borderId="23" xfId="2" applyFont="1" applyBorder="1" applyAlignment="1">
      <alignment horizontal="center" vertical="center"/>
    </xf>
    <xf numFmtId="0" fontId="22" fillId="0" borderId="7" xfId="0" applyFont="1" applyBorder="1" applyAlignment="1">
      <alignment horizontal="center" vertical="center"/>
    </xf>
    <xf numFmtId="0" fontId="22" fillId="0" borderId="7" xfId="0" quotePrefix="1" applyFont="1" applyBorder="1" applyAlignment="1">
      <alignment horizontal="center" vertical="center"/>
    </xf>
    <xf numFmtId="164" fontId="47" fillId="0" borderId="7" xfId="0" applyNumberFormat="1" applyFont="1" applyBorder="1" applyAlignment="1">
      <alignment horizontal="center" vertical="center"/>
    </xf>
    <xf numFmtId="0" fontId="3" fillId="0" borderId="0" xfId="0" applyFont="1" applyAlignment="1" applyProtection="1">
      <alignment vertical="center"/>
      <protection hidden="1"/>
    </xf>
    <xf numFmtId="1" fontId="23" fillId="0" borderId="7" xfId="0" applyNumberFormat="1" applyFont="1" applyBorder="1" applyAlignment="1">
      <alignment horizontal="center" vertical="center"/>
    </xf>
    <xf numFmtId="0" fontId="24" fillId="0" borderId="7" xfId="0" applyFont="1" applyBorder="1" applyAlignment="1">
      <alignment horizontal="center" vertical="center"/>
    </xf>
    <xf numFmtId="168" fontId="24" fillId="0" borderId="0" xfId="0" applyNumberFormat="1" applyFont="1" applyAlignment="1" applyProtection="1">
      <alignment vertical="center"/>
      <protection hidden="1"/>
    </xf>
    <xf numFmtId="0" fontId="2" fillId="0" borderId="0" xfId="0" applyFont="1" applyAlignment="1" applyProtection="1">
      <alignment vertical="center"/>
      <protection hidden="1"/>
    </xf>
    <xf numFmtId="22" fontId="26" fillId="0" borderId="0" xfId="0" applyNumberFormat="1" applyFont="1" applyAlignment="1" applyProtection="1">
      <alignment horizontal="center" vertical="center"/>
      <protection hidden="1"/>
    </xf>
    <xf numFmtId="0" fontId="12" fillId="0" borderId="0" xfId="1" applyFont="1" applyBorder="1" applyAlignment="1" applyProtection="1">
      <alignment horizontal="left" vertical="center"/>
      <protection hidden="1"/>
    </xf>
    <xf numFmtId="0" fontId="37" fillId="0" borderId="2" xfId="0" applyFont="1" applyFill="1" applyBorder="1" applyAlignment="1" applyProtection="1">
      <alignment horizontal="left" vertical="center" wrapText="1"/>
      <protection hidden="1"/>
    </xf>
    <xf numFmtId="0" fontId="37" fillId="0" borderId="3" xfId="0" applyFont="1" applyFill="1" applyBorder="1" applyAlignment="1" applyProtection="1">
      <alignment horizontal="left" vertical="center" wrapText="1"/>
      <protection hidden="1"/>
    </xf>
    <xf numFmtId="0" fontId="37" fillId="0" borderId="4" xfId="0" applyFont="1" applyFill="1" applyBorder="1" applyAlignment="1" applyProtection="1">
      <alignment horizontal="left" vertical="center" wrapText="1"/>
      <protection hidden="1"/>
    </xf>
    <xf numFmtId="0" fontId="37" fillId="0" borderId="5" xfId="0" applyFont="1" applyFill="1" applyBorder="1" applyAlignment="1" applyProtection="1">
      <alignment horizontal="left" vertical="center" wrapText="1"/>
      <protection hidden="1"/>
    </xf>
    <xf numFmtId="0" fontId="37" fillId="0" borderId="1" xfId="0" applyFont="1" applyFill="1" applyBorder="1" applyAlignment="1" applyProtection="1">
      <alignment horizontal="left" vertical="center" wrapText="1"/>
      <protection hidden="1"/>
    </xf>
    <xf numFmtId="0" fontId="37" fillId="0" borderId="6" xfId="0" applyFont="1" applyFill="1" applyBorder="1" applyAlignment="1" applyProtection="1">
      <alignment horizontal="left" vertical="center" wrapText="1"/>
      <protection hidden="1"/>
    </xf>
    <xf numFmtId="0" fontId="22" fillId="0" borderId="2"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4" xfId="0" applyFont="1" applyBorder="1" applyAlignment="1" applyProtection="1">
      <alignment horizontal="center" vertical="center"/>
      <protection hidden="1"/>
    </xf>
    <xf numFmtId="0" fontId="22" fillId="0" borderId="5" xfId="0" applyFont="1" applyBorder="1" applyAlignment="1" applyProtection="1">
      <alignment horizontal="center" vertical="center"/>
      <protection hidden="1"/>
    </xf>
    <xf numFmtId="0" fontId="22" fillId="0" borderId="6" xfId="0" applyFont="1" applyBorder="1" applyAlignment="1" applyProtection="1">
      <alignment horizontal="center" vertical="center"/>
      <protection hidden="1"/>
    </xf>
    <xf numFmtId="0" fontId="15" fillId="0" borderId="7" xfId="2" applyFont="1" applyBorder="1" applyAlignment="1">
      <alignment horizontal="center" vertical="center" wrapText="1"/>
    </xf>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1" xfId="2" applyFont="1" applyBorder="1" applyAlignment="1">
      <alignment horizontal="center" vertical="center"/>
    </xf>
    <xf numFmtId="0" fontId="16" fillId="0" borderId="6" xfId="2" applyFont="1" applyBorder="1" applyAlignment="1">
      <alignment horizontal="center" vertical="center"/>
    </xf>
    <xf numFmtId="0" fontId="15" fillId="0" borderId="7" xfId="2" applyFont="1" applyBorder="1" applyAlignment="1">
      <alignment horizontal="center"/>
    </xf>
    <xf numFmtId="2" fontId="15" fillId="0" borderId="7" xfId="2" applyNumberFormat="1" applyFont="1" applyBorder="1" applyAlignment="1">
      <alignment horizontal="center" vertical="center"/>
    </xf>
    <xf numFmtId="2" fontId="15" fillId="0" borderId="7" xfId="2" applyNumberFormat="1" applyFont="1" applyBorder="1" applyAlignment="1">
      <alignment horizontal="center" vertical="center" wrapText="1"/>
    </xf>
    <xf numFmtId="0" fontId="17" fillId="0" borderId="7" xfId="2" applyFont="1" applyBorder="1" applyAlignment="1">
      <alignment horizontal="center" vertical="center" wrapText="1"/>
    </xf>
    <xf numFmtId="0" fontId="17" fillId="0" borderId="7" xfId="2" applyFont="1" applyBorder="1" applyAlignment="1">
      <alignment horizontal="center" vertical="center"/>
    </xf>
    <xf numFmtId="0" fontId="17" fillId="0" borderId="7" xfId="2" applyFont="1" applyBorder="1" applyAlignment="1">
      <alignment horizontal="center" wrapText="1"/>
    </xf>
    <xf numFmtId="0" fontId="17" fillId="0" borderId="7" xfId="2" applyFont="1" applyBorder="1" applyAlignment="1">
      <alignment horizontal="center"/>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15" fillId="0" borderId="7" xfId="2" applyFont="1" applyBorder="1" applyAlignment="1">
      <alignment horizontal="center" vertical="center"/>
    </xf>
    <xf numFmtId="0" fontId="15" fillId="0" borderId="0" xfId="2" applyFont="1" applyAlignment="1">
      <alignment horizontal="center" vertical="center"/>
    </xf>
    <xf numFmtId="0" fontId="17" fillId="0" borderId="7" xfId="0" applyFont="1" applyBorder="1" applyAlignment="1" applyProtection="1">
      <alignment horizontal="center" vertical="center" textRotation="90" wrapText="1"/>
      <protection hidden="1"/>
    </xf>
  </cellXfs>
  <cellStyles count="3">
    <cellStyle name="Normal" xfId="0" builtinId="0"/>
    <cellStyle name="Normal 2" xfId="2"/>
    <cellStyle name="Normal_Tinh cot" xfId="1"/>
  </cellStyles>
  <dxfs count="4">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3</xdr:row>
      <xdr:rowOff>85725</xdr:rowOff>
    </xdr:from>
    <xdr:to>
      <xdr:col>4</xdr:col>
      <xdr:colOff>533400</xdr:colOff>
      <xdr:row>7</xdr:row>
      <xdr:rowOff>152400</xdr:rowOff>
    </xdr:to>
    <xdr:pic>
      <xdr:nvPicPr>
        <xdr:cNvPr id="6" name="Picture 5" descr="30_First_Image.jpg">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885950" y="828675"/>
          <a:ext cx="1057275" cy="1057275"/>
        </a:xfrm>
        <a:prstGeom prst="rect">
          <a:avLst/>
        </a:prstGeom>
      </xdr:spPr>
    </xdr:pic>
    <xdr:clientData/>
  </xdr:twoCellAnchor>
  <xdr:twoCellAnchor editAs="oneCell">
    <xdr:from>
      <xdr:col>3</xdr:col>
      <xdr:colOff>466725</xdr:colOff>
      <xdr:row>23</xdr:row>
      <xdr:rowOff>228601</xdr:rowOff>
    </xdr:from>
    <xdr:to>
      <xdr:col>8</xdr:col>
      <xdr:colOff>523875</xdr:colOff>
      <xdr:row>27</xdr:row>
      <xdr:rowOff>153613</xdr:rowOff>
    </xdr:to>
    <xdr:pic>
      <xdr:nvPicPr>
        <xdr:cNvPr id="7" name="Picture 6" descr="Capture.PNG">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295525" y="5924551"/>
          <a:ext cx="2962275" cy="915612"/>
        </a:xfrm>
        <a:prstGeom prst="rect">
          <a:avLst/>
        </a:prstGeom>
      </xdr:spPr>
    </xdr:pic>
    <xdr:clientData/>
  </xdr:twoCellAnchor>
  <xdr:twoCellAnchor editAs="oneCell">
    <xdr:from>
      <xdr:col>6</xdr:col>
      <xdr:colOff>457201</xdr:colOff>
      <xdr:row>43</xdr:row>
      <xdr:rowOff>123826</xdr:rowOff>
    </xdr:from>
    <xdr:to>
      <xdr:col>9</xdr:col>
      <xdr:colOff>393092</xdr:colOff>
      <xdr:row>45</xdr:row>
      <xdr:rowOff>133350</xdr:rowOff>
    </xdr:to>
    <xdr:pic>
      <xdr:nvPicPr>
        <xdr:cNvPr id="8" name="Picture 7" descr="Capture.PNG">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4029076" y="10772776"/>
          <a:ext cx="1678966" cy="504824"/>
        </a:xfrm>
        <a:prstGeom prst="rect">
          <a:avLst/>
        </a:prstGeom>
      </xdr:spPr>
    </xdr:pic>
    <xdr:clientData/>
  </xdr:twoCellAnchor>
  <xdr:twoCellAnchor editAs="oneCell">
    <xdr:from>
      <xdr:col>4</xdr:col>
      <xdr:colOff>152401</xdr:colOff>
      <xdr:row>51</xdr:row>
      <xdr:rowOff>228601</xdr:rowOff>
    </xdr:from>
    <xdr:to>
      <xdr:col>11</xdr:col>
      <xdr:colOff>390526</xdr:colOff>
      <xdr:row>53</xdr:row>
      <xdr:rowOff>226145</xdr:rowOff>
    </xdr:to>
    <xdr:pic>
      <xdr:nvPicPr>
        <xdr:cNvPr id="9" name="Picture 8" descr="Capture.PNG">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2562226" y="12858751"/>
          <a:ext cx="4305300" cy="492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52667</xdr:colOff>
      <xdr:row>3</xdr:row>
      <xdr:rowOff>64995</xdr:rowOff>
    </xdr:from>
    <xdr:to>
      <xdr:col>4</xdr:col>
      <xdr:colOff>521328</xdr:colOff>
      <xdr:row>7</xdr:row>
      <xdr:rowOff>134470</xdr:rowOff>
    </xdr:to>
    <xdr:pic>
      <xdr:nvPicPr>
        <xdr:cNvPr id="4" name="Picture 3" descr="30_First_Image.jpg">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868020" y="804583"/>
          <a:ext cx="1051367" cy="1055593"/>
        </a:xfrm>
        <a:prstGeom prst="rect">
          <a:avLst/>
        </a:prstGeom>
      </xdr:spPr>
    </xdr:pic>
    <xdr:clientData/>
  </xdr:twoCellAnchor>
  <xdr:twoCellAnchor editAs="oneCell">
    <xdr:from>
      <xdr:col>4</xdr:col>
      <xdr:colOff>457200</xdr:colOff>
      <xdr:row>19</xdr:row>
      <xdr:rowOff>238125</xdr:rowOff>
    </xdr:from>
    <xdr:to>
      <xdr:col>11</xdr:col>
      <xdr:colOff>19050</xdr:colOff>
      <xdr:row>21</xdr:row>
      <xdr:rowOff>201346</xdr:rowOff>
    </xdr:to>
    <xdr:pic>
      <xdr:nvPicPr>
        <xdr:cNvPr id="9" name="Picture 8" descr="Capture.PNG">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2867025" y="4695825"/>
          <a:ext cx="3629025" cy="458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D2:K7"/>
  <sheetViews>
    <sheetView showGridLines="0" workbookViewId="0">
      <selection activeCell="F8" sqref="F8"/>
    </sheetView>
  </sheetViews>
  <sheetFormatPr defaultRowHeight="20.100000000000001" customHeight="1" x14ac:dyDescent="0.2"/>
  <cols>
    <col min="1" max="16384" width="9.140625" style="60"/>
  </cols>
  <sheetData>
    <row r="2" spans="4:11" ht="20.100000000000001" customHeight="1" x14ac:dyDescent="0.2">
      <c r="D2" s="59" t="s">
        <v>168</v>
      </c>
      <c r="J2" s="63" t="s">
        <v>172</v>
      </c>
    </row>
    <row r="3" spans="4:11" ht="20.100000000000001" customHeight="1" x14ac:dyDescent="0.2">
      <c r="D3" s="59" t="s">
        <v>169</v>
      </c>
      <c r="J3" s="63" t="s">
        <v>170</v>
      </c>
    </row>
    <row r="4" spans="4:11" ht="20.100000000000001" customHeight="1" x14ac:dyDescent="0.2">
      <c r="D4" s="59" t="s">
        <v>115</v>
      </c>
      <c r="E4" s="61"/>
      <c r="F4" s="61"/>
      <c r="G4" s="82" t="s">
        <v>101</v>
      </c>
      <c r="H4" s="61"/>
      <c r="I4" s="126" t="s">
        <v>181</v>
      </c>
      <c r="J4" s="28">
        <f>VLOOKUP($G$4,DT!$E$105:$H$117,2,0)</f>
        <v>30</v>
      </c>
      <c r="K4" s="61" t="s">
        <v>8</v>
      </c>
    </row>
    <row r="5" spans="4:11" ht="20.100000000000001" customHeight="1" x14ac:dyDescent="0.2">
      <c r="D5" s="59" t="s">
        <v>116</v>
      </c>
      <c r="E5" s="61"/>
      <c r="F5" s="61"/>
      <c r="G5" s="61"/>
      <c r="H5" s="61"/>
      <c r="I5" s="62" t="s">
        <v>117</v>
      </c>
      <c r="J5" s="28">
        <v>420</v>
      </c>
      <c r="K5" s="61" t="s">
        <v>8</v>
      </c>
    </row>
    <row r="6" spans="4:11" ht="20.100000000000001" customHeight="1" x14ac:dyDescent="0.2">
      <c r="I6" s="101" t="s">
        <v>173</v>
      </c>
      <c r="J6" s="28">
        <v>420</v>
      </c>
      <c r="K6" s="61" t="s">
        <v>8</v>
      </c>
    </row>
    <row r="7" spans="4:11" ht="20.100000000000001" customHeight="1" x14ac:dyDescent="0.2">
      <c r="J7" s="28" t="s">
        <v>171</v>
      </c>
    </row>
  </sheetData>
  <dataValidations count="1">
    <dataValidation type="list" allowBlank="1" showInputMessage="1" showErrorMessage="1" sqref="G4">
      <formula1>crtec</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D1:R62"/>
  <sheetViews>
    <sheetView showGridLines="0" tabSelected="1" view="pageBreakPreview" zoomScaleSheetLayoutView="100" workbookViewId="0">
      <selection activeCell="K16" sqref="K16"/>
    </sheetView>
  </sheetViews>
  <sheetFormatPr defaultRowHeight="20.100000000000001" customHeight="1" x14ac:dyDescent="0.25"/>
  <cols>
    <col min="1" max="3" width="9.140625" style="65"/>
    <col min="4" max="12" width="8.7109375" style="65" customWidth="1"/>
    <col min="13" max="13" width="9.7109375" style="65" customWidth="1"/>
    <col min="14" max="16384" width="9.140625" style="65"/>
  </cols>
  <sheetData>
    <row r="1" spans="4:15" ht="20.100000000000001" customHeight="1" x14ac:dyDescent="0.25">
      <c r="D1" s="169" t="s">
        <v>6</v>
      </c>
      <c r="E1" s="169"/>
      <c r="F1" s="169"/>
      <c r="G1" s="169"/>
      <c r="H1" s="64"/>
      <c r="L1" s="168">
        <f ca="1">NOW()</f>
        <v>43305.449066782407</v>
      </c>
      <c r="M1" s="168"/>
    </row>
    <row r="2" spans="4:15" ht="20.100000000000001" customHeight="1" x14ac:dyDescent="0.25">
      <c r="D2" s="66" t="s">
        <v>0</v>
      </c>
      <c r="E2" s="66"/>
      <c r="F2" s="66"/>
      <c r="G2" s="66"/>
      <c r="H2" s="66"/>
      <c r="I2" s="66" t="s">
        <v>3</v>
      </c>
      <c r="J2" s="66"/>
      <c r="K2" s="66"/>
      <c r="L2" s="66" t="s">
        <v>5</v>
      </c>
      <c r="M2" s="67">
        <f ca="1">NOW()</f>
        <v>43305.449066782407</v>
      </c>
    </row>
    <row r="3" spans="4:15" ht="20.100000000000001" customHeight="1" x14ac:dyDescent="0.25">
      <c r="D3" s="66" t="s">
        <v>1</v>
      </c>
      <c r="E3" s="66"/>
      <c r="F3" s="66" t="s">
        <v>2</v>
      </c>
      <c r="G3" s="66"/>
      <c r="H3" s="66"/>
      <c r="I3" s="66" t="s">
        <v>4</v>
      </c>
      <c r="J3" s="66"/>
      <c r="K3" s="66"/>
      <c r="L3" s="68" t="s">
        <v>114</v>
      </c>
      <c r="M3" s="69" t="s">
        <v>119</v>
      </c>
    </row>
    <row r="4" spans="4:15" ht="20.100000000000001" customHeight="1" x14ac:dyDescent="0.25">
      <c r="D4" s="176" t="s">
        <v>118</v>
      </c>
      <c r="E4" s="177"/>
      <c r="F4" s="170" t="s">
        <v>214</v>
      </c>
      <c r="G4" s="171"/>
      <c r="H4" s="171"/>
      <c r="I4" s="171"/>
      <c r="J4" s="171"/>
      <c r="K4" s="171"/>
      <c r="L4" s="171"/>
      <c r="M4" s="172"/>
      <c r="O4" s="123" t="s">
        <v>179</v>
      </c>
    </row>
    <row r="5" spans="4:15" ht="20.100000000000001" customHeight="1" x14ac:dyDescent="0.25">
      <c r="D5" s="178"/>
      <c r="E5" s="179"/>
      <c r="F5" s="173"/>
      <c r="G5" s="174"/>
      <c r="H5" s="174"/>
      <c r="I5" s="174"/>
      <c r="J5" s="174"/>
      <c r="K5" s="174"/>
      <c r="L5" s="174"/>
      <c r="M5" s="175"/>
      <c r="O5" s="124" t="s">
        <v>180</v>
      </c>
    </row>
    <row r="6" spans="4:15" ht="20.100000000000001" customHeight="1" x14ac:dyDescent="0.25">
      <c r="D6" s="178"/>
      <c r="E6" s="179"/>
      <c r="F6" s="103" t="s">
        <v>110</v>
      </c>
      <c r="G6" s="121" t="str">
        <f>INPUT!$J$2</f>
        <v>Milco - Kizad</v>
      </c>
      <c r="H6" s="93"/>
      <c r="I6" s="92"/>
      <c r="J6" s="91" t="s">
        <v>113</v>
      </c>
      <c r="K6" s="70"/>
      <c r="L6" s="70"/>
      <c r="M6" s="104"/>
      <c r="O6" s="124" t="s">
        <v>229</v>
      </c>
    </row>
    <row r="7" spans="4:15" ht="20.100000000000001" customHeight="1" x14ac:dyDescent="0.25">
      <c r="D7" s="178"/>
      <c r="E7" s="179"/>
      <c r="F7" s="105"/>
      <c r="G7" s="94"/>
      <c r="H7" s="95"/>
      <c r="I7" s="96"/>
      <c r="J7" s="71"/>
      <c r="K7" s="72"/>
      <c r="L7" s="72"/>
      <c r="M7" s="106"/>
    </row>
    <row r="8" spans="4:15" ht="20.100000000000001" customHeight="1" x14ac:dyDescent="0.25">
      <c r="D8" s="180"/>
      <c r="E8" s="181"/>
      <c r="F8" s="107" t="s">
        <v>111</v>
      </c>
      <c r="G8" s="122" t="str">
        <f>INPUT!$J$3</f>
        <v>Roof</v>
      </c>
      <c r="H8" s="108"/>
      <c r="I8" s="109"/>
      <c r="J8" s="107" t="s">
        <v>112</v>
      </c>
      <c r="K8" s="110">
        <f ca="1">NOW()</f>
        <v>43305.449066782407</v>
      </c>
      <c r="L8" s="107" t="s">
        <v>114</v>
      </c>
      <c r="M8" s="111" t="str">
        <f>M3</f>
        <v>00</v>
      </c>
    </row>
    <row r="9" spans="4:15" ht="20.100000000000001" customHeight="1" x14ac:dyDescent="0.25">
      <c r="D9" s="113"/>
      <c r="E9" s="114" t="s">
        <v>174</v>
      </c>
      <c r="F9" s="115"/>
      <c r="G9" s="114"/>
      <c r="H9" s="114"/>
      <c r="I9" s="114"/>
      <c r="J9" s="114"/>
      <c r="K9" s="114"/>
      <c r="L9" s="114"/>
      <c r="M9" s="116"/>
      <c r="O9" s="163" t="s">
        <v>303</v>
      </c>
    </row>
    <row r="10" spans="4:15" ht="20.100000000000001" customHeight="1" x14ac:dyDescent="0.25">
      <c r="D10" s="112" t="s">
        <v>178</v>
      </c>
    </row>
    <row r="11" spans="4:15" ht="20.100000000000001" customHeight="1" x14ac:dyDescent="0.25">
      <c r="E11" s="73" t="s">
        <v>115</v>
      </c>
      <c r="H11" s="65" t="str">
        <f>INPUT!$G$4</f>
        <v>C30/37</v>
      </c>
      <c r="J11" s="125" t="s">
        <v>181</v>
      </c>
      <c r="K11" s="75">
        <f>INPUT!$J$4</f>
        <v>30</v>
      </c>
      <c r="L11" s="76" t="s">
        <v>8</v>
      </c>
    </row>
    <row r="12" spans="4:15" ht="20.100000000000001" customHeight="1" x14ac:dyDescent="0.25">
      <c r="E12" s="73"/>
      <c r="J12" s="125" t="s">
        <v>190</v>
      </c>
      <c r="K12" s="75">
        <f>+K11+8</f>
        <v>38</v>
      </c>
      <c r="L12" s="76" t="s">
        <v>8</v>
      </c>
    </row>
    <row r="13" spans="4:15" ht="20.100000000000001" customHeight="1" x14ac:dyDescent="0.25">
      <c r="E13" s="73" t="s">
        <v>116</v>
      </c>
      <c r="J13" s="77" t="s">
        <v>117</v>
      </c>
      <c r="K13" s="75">
        <f>INPUT!$J$5</f>
        <v>420</v>
      </c>
      <c r="L13" s="76" t="s">
        <v>8</v>
      </c>
      <c r="N13" s="78"/>
      <c r="O13" s="78"/>
    </row>
    <row r="14" spans="4:15" ht="20.100000000000001" customHeight="1" x14ac:dyDescent="0.25">
      <c r="D14" s="112" t="s">
        <v>177</v>
      </c>
      <c r="E14" s="73"/>
      <c r="J14" s="100"/>
      <c r="K14" s="75"/>
      <c r="L14" s="76"/>
      <c r="N14" s="78"/>
      <c r="O14" s="78"/>
    </row>
    <row r="15" spans="4:15" ht="20.100000000000001" customHeight="1" x14ac:dyDescent="0.25">
      <c r="D15" s="112"/>
      <c r="E15" s="73"/>
      <c r="J15" s="125" t="s">
        <v>197</v>
      </c>
      <c r="K15" s="129">
        <v>200</v>
      </c>
      <c r="L15" s="127" t="s">
        <v>196</v>
      </c>
      <c r="N15" s="78"/>
      <c r="O15" s="78"/>
    </row>
    <row r="16" spans="4:15" ht="20.100000000000001" customHeight="1" x14ac:dyDescent="0.25">
      <c r="D16" s="112"/>
      <c r="E16" s="73"/>
      <c r="J16" s="125" t="s">
        <v>198</v>
      </c>
      <c r="K16" s="75">
        <f>0.9*K15</f>
        <v>180</v>
      </c>
      <c r="L16" s="127" t="s">
        <v>196</v>
      </c>
      <c r="N16" s="78"/>
      <c r="O16" s="78"/>
    </row>
    <row r="17" spans="4:18" ht="20.100000000000001" customHeight="1" x14ac:dyDescent="0.25">
      <c r="D17" s="112"/>
      <c r="E17" s="73"/>
      <c r="J17" s="125" t="s">
        <v>195</v>
      </c>
      <c r="K17" s="129">
        <v>1000</v>
      </c>
      <c r="L17" s="127" t="s">
        <v>196</v>
      </c>
      <c r="N17" s="78"/>
      <c r="O17" s="78"/>
    </row>
    <row r="18" spans="4:18" ht="20.100000000000001" customHeight="1" x14ac:dyDescent="0.25">
      <c r="D18" s="117"/>
      <c r="E18" s="118" t="s">
        <v>175</v>
      </c>
      <c r="F18" s="118"/>
      <c r="G18" s="118"/>
      <c r="H18" s="118"/>
      <c r="I18" s="118"/>
      <c r="J18" s="118"/>
      <c r="K18" s="119"/>
      <c r="L18" s="118"/>
      <c r="M18" s="120"/>
    </row>
    <row r="19" spans="4:18" ht="20.100000000000001" customHeight="1" x14ac:dyDescent="0.25">
      <c r="D19" s="127" t="s">
        <v>215</v>
      </c>
      <c r="E19" s="79"/>
      <c r="J19" s="74"/>
      <c r="K19" s="84"/>
      <c r="L19" s="81"/>
    </row>
    <row r="20" spans="4:18" ht="20.100000000000001" customHeight="1" x14ac:dyDescent="0.25">
      <c r="E20" s="79"/>
      <c r="J20" s="125" t="s">
        <v>216</v>
      </c>
      <c r="K20" s="132">
        <f>+K23*K45</f>
        <v>2.345772095135886</v>
      </c>
      <c r="L20" s="81"/>
      <c r="N20" s="145" t="s">
        <v>258</v>
      </c>
      <c r="Q20" s="144">
        <v>1800</v>
      </c>
      <c r="R20" s="127" t="s">
        <v>257</v>
      </c>
    </row>
    <row r="21" spans="4:18" ht="20.100000000000001" customHeight="1" x14ac:dyDescent="0.25">
      <c r="D21" s="127" t="s">
        <v>182</v>
      </c>
      <c r="E21" s="79"/>
      <c r="J21" s="74"/>
      <c r="K21" s="84"/>
      <c r="L21" s="81"/>
      <c r="N21" s="127" t="str">
        <f>"với bê tông cốt liệu nhẹ "&amp;Q20</f>
        <v>với bê tông cốt liệu nhẹ 1800</v>
      </c>
      <c r="O21" s="90"/>
      <c r="P21" s="81"/>
      <c r="Q21" s="143">
        <f>+K20*(Q20/2200)^2</f>
        <v>1.5703102455041884</v>
      </c>
    </row>
    <row r="22" spans="4:18" ht="20.100000000000001" customHeight="1" x14ac:dyDescent="0.25">
      <c r="D22" s="127" t="s">
        <v>183</v>
      </c>
      <c r="E22" s="81"/>
      <c r="J22" s="74"/>
      <c r="K22" s="85"/>
      <c r="L22" s="81"/>
      <c r="N22" s="127" t="s">
        <v>218</v>
      </c>
      <c r="O22" s="82"/>
      <c r="P22" s="81"/>
    </row>
    <row r="23" spans="4:18" ht="20.100000000000001" customHeight="1" x14ac:dyDescent="0.25">
      <c r="E23" s="81"/>
      <c r="J23" s="125" t="s">
        <v>217</v>
      </c>
      <c r="K23" s="130">
        <f>+K26*K32*K35</f>
        <v>2.3664125454972691</v>
      </c>
      <c r="L23" s="81"/>
      <c r="P23" s="81"/>
    </row>
    <row r="24" spans="4:18" ht="20.100000000000001" customHeight="1" x14ac:dyDescent="0.25">
      <c r="D24" s="127" t="s">
        <v>184</v>
      </c>
      <c r="E24" s="81"/>
      <c r="I24" s="80"/>
      <c r="J24" s="74"/>
      <c r="K24" s="86"/>
      <c r="L24" s="81"/>
      <c r="N24" s="127" t="s">
        <v>219</v>
      </c>
      <c r="P24" s="81"/>
    </row>
    <row r="25" spans="4:18" ht="20.100000000000001" customHeight="1" x14ac:dyDescent="0.25">
      <c r="E25" s="81"/>
      <c r="I25" s="87"/>
      <c r="J25" s="87"/>
      <c r="K25" s="89"/>
      <c r="L25" s="81"/>
      <c r="P25" s="81"/>
    </row>
    <row r="26" spans="4:18" ht="20.100000000000001" customHeight="1" x14ac:dyDescent="0.25">
      <c r="E26" s="81"/>
      <c r="J26" s="125" t="s">
        <v>232</v>
      </c>
      <c r="K26" s="83">
        <f>IF($K$12&gt;35,(1+(1-K30/100)/(0.1*K38^(1/3))*K56)*K57,1+(1-K30/100)/(0.1*K38^(1/3)))</f>
        <v>1.7776786883583546</v>
      </c>
      <c r="L26" s="81"/>
      <c r="P26" s="81"/>
    </row>
    <row r="27" spans="4:18" ht="20.100000000000001" customHeight="1" x14ac:dyDescent="0.25">
      <c r="E27" s="81"/>
      <c r="J27" s="74"/>
      <c r="K27" s="85"/>
      <c r="L27" s="81"/>
      <c r="P27" s="81"/>
    </row>
    <row r="28" spans="4:18" ht="20.100000000000001" customHeight="1" x14ac:dyDescent="0.25">
      <c r="E28" s="81"/>
      <c r="L28" s="81"/>
      <c r="P28" s="81"/>
    </row>
    <row r="29" spans="4:18" ht="20.100000000000001" customHeight="1" x14ac:dyDescent="0.25">
      <c r="D29" s="127" t="s">
        <v>185</v>
      </c>
      <c r="E29" s="102"/>
      <c r="J29" s="74"/>
      <c r="K29" s="85"/>
      <c r="L29" s="97"/>
      <c r="O29" s="99"/>
      <c r="P29" s="88"/>
      <c r="Q29" s="98"/>
      <c r="R29" s="83"/>
    </row>
    <row r="30" spans="4:18" ht="20.100000000000001" customHeight="1" x14ac:dyDescent="0.25">
      <c r="E30" s="102"/>
      <c r="J30" s="125" t="s">
        <v>186</v>
      </c>
      <c r="K30" s="128">
        <v>50</v>
      </c>
      <c r="L30" s="127" t="s">
        <v>187</v>
      </c>
      <c r="N30" s="127" t="s">
        <v>220</v>
      </c>
      <c r="O30" s="99"/>
      <c r="P30" s="88"/>
      <c r="Q30" s="98"/>
      <c r="R30" s="83"/>
    </row>
    <row r="31" spans="4:18" ht="20.100000000000001" customHeight="1" x14ac:dyDescent="0.25">
      <c r="D31" s="127" t="s">
        <v>188</v>
      </c>
      <c r="E31" s="102"/>
      <c r="J31" s="74"/>
      <c r="K31" s="128"/>
      <c r="L31" s="97"/>
      <c r="O31" s="99"/>
      <c r="P31" s="88"/>
      <c r="Q31" s="98"/>
      <c r="R31" s="83"/>
    </row>
    <row r="32" spans="4:18" ht="20.100000000000001" customHeight="1" x14ac:dyDescent="0.25">
      <c r="E32" s="102"/>
      <c r="J32" s="125" t="s">
        <v>189</v>
      </c>
      <c r="K32" s="83">
        <f>16.8/(K12)^0.5</f>
        <v>2.7253198749968108</v>
      </c>
      <c r="L32" s="97"/>
      <c r="N32" s="127" t="s">
        <v>221</v>
      </c>
      <c r="O32" s="99"/>
      <c r="P32" s="88"/>
      <c r="Q32" s="98"/>
      <c r="R32" s="83"/>
    </row>
    <row r="33" spans="4:18" ht="20.100000000000001" customHeight="1" x14ac:dyDescent="0.25">
      <c r="E33" s="102"/>
      <c r="J33" s="125"/>
      <c r="K33" s="83"/>
      <c r="L33" s="97"/>
      <c r="N33" s="127"/>
      <c r="O33" s="99"/>
      <c r="P33" s="88"/>
      <c r="Q33" s="98"/>
      <c r="R33" s="83"/>
    </row>
    <row r="34" spans="4:18" ht="20.100000000000001" customHeight="1" x14ac:dyDescent="0.25">
      <c r="D34" s="127" t="s">
        <v>192</v>
      </c>
      <c r="E34" s="102"/>
      <c r="J34" s="74"/>
      <c r="K34" s="85"/>
      <c r="L34" s="97"/>
      <c r="O34" s="99"/>
      <c r="P34" s="88"/>
      <c r="Q34" s="98"/>
      <c r="R34" s="83"/>
    </row>
    <row r="35" spans="4:18" ht="20.100000000000001" customHeight="1" x14ac:dyDescent="0.25">
      <c r="D35" s="127" t="s">
        <v>191</v>
      </c>
      <c r="E35" s="102"/>
      <c r="J35" s="125" t="s">
        <v>230</v>
      </c>
      <c r="K35" s="130">
        <f>1/(0.1+K49^0.2)</f>
        <v>0.48844954537902541</v>
      </c>
      <c r="L35" s="97"/>
      <c r="N35" s="127" t="s">
        <v>222</v>
      </c>
      <c r="O35" s="99"/>
      <c r="P35" s="88"/>
      <c r="Q35" s="98"/>
      <c r="R35" s="83"/>
    </row>
    <row r="36" spans="4:18" ht="20.100000000000001" customHeight="1" x14ac:dyDescent="0.25">
      <c r="D36" s="127"/>
      <c r="E36" s="102"/>
      <c r="J36" s="125"/>
      <c r="K36" s="130"/>
      <c r="L36" s="97"/>
      <c r="N36" s="127"/>
      <c r="O36" s="99"/>
      <c r="P36" s="88"/>
      <c r="Q36" s="98"/>
      <c r="R36" s="83"/>
    </row>
    <row r="37" spans="4:18" ht="20.100000000000001" customHeight="1" x14ac:dyDescent="0.25">
      <c r="D37" s="127" t="s">
        <v>193</v>
      </c>
      <c r="E37" s="102"/>
      <c r="J37" s="74"/>
      <c r="K37" s="85"/>
      <c r="L37" s="97"/>
      <c r="O37" s="99"/>
      <c r="P37" s="88"/>
      <c r="Q37" s="98"/>
      <c r="R37" s="83"/>
    </row>
    <row r="38" spans="4:18" ht="20.100000000000001" customHeight="1" x14ac:dyDescent="0.25">
      <c r="E38" s="102"/>
      <c r="J38" s="125" t="s">
        <v>231</v>
      </c>
      <c r="K38" s="85">
        <f>2*K39/K41</f>
        <v>200</v>
      </c>
      <c r="L38" s="97"/>
      <c r="N38" s="127" t="s">
        <v>223</v>
      </c>
      <c r="O38" s="99"/>
      <c r="P38" s="88"/>
      <c r="Q38" s="98"/>
      <c r="R38" s="83"/>
    </row>
    <row r="39" spans="4:18" ht="20.100000000000001" customHeight="1" x14ac:dyDescent="0.25">
      <c r="D39" s="127" t="s">
        <v>194</v>
      </c>
      <c r="E39" s="102"/>
      <c r="J39" s="125" t="s">
        <v>273</v>
      </c>
      <c r="K39" s="85">
        <f>+K17*K15</f>
        <v>200000</v>
      </c>
      <c r="L39" s="127" t="s">
        <v>199</v>
      </c>
      <c r="N39" s="127" t="s">
        <v>224</v>
      </c>
      <c r="O39" s="99"/>
      <c r="P39" s="88"/>
      <c r="Q39" s="98"/>
      <c r="R39" s="83"/>
    </row>
    <row r="40" spans="4:18" ht="20.100000000000001" customHeight="1" x14ac:dyDescent="0.25">
      <c r="D40" s="127" t="s">
        <v>200</v>
      </c>
      <c r="E40" s="102"/>
      <c r="K40" s="85"/>
      <c r="L40" s="97"/>
      <c r="O40" s="99"/>
      <c r="P40" s="88"/>
      <c r="Q40" s="98"/>
      <c r="R40" s="83"/>
    </row>
    <row r="41" spans="4:18" ht="20.100000000000001" customHeight="1" x14ac:dyDescent="0.25">
      <c r="E41" s="102"/>
      <c r="J41" s="125" t="s">
        <v>272</v>
      </c>
      <c r="K41" s="85">
        <f>2*(K17)</f>
        <v>2000</v>
      </c>
      <c r="L41" s="127" t="s">
        <v>196</v>
      </c>
      <c r="N41" s="127" t="s">
        <v>225</v>
      </c>
      <c r="O41" s="99"/>
      <c r="P41" s="88"/>
      <c r="Q41" s="98"/>
      <c r="R41" s="83"/>
    </row>
    <row r="42" spans="4:18" ht="20.100000000000001" customHeight="1" x14ac:dyDescent="0.25">
      <c r="D42" s="127" t="s">
        <v>202</v>
      </c>
      <c r="E42" s="102"/>
      <c r="J42" s="74"/>
      <c r="K42" s="85"/>
      <c r="L42" s="97"/>
      <c r="O42" s="99"/>
      <c r="P42" s="88"/>
      <c r="Q42" s="98"/>
      <c r="R42" s="83"/>
    </row>
    <row r="43" spans="4:18" ht="20.100000000000001" customHeight="1" x14ac:dyDescent="0.25">
      <c r="D43" s="127" t="s">
        <v>201</v>
      </c>
      <c r="E43" s="102"/>
      <c r="J43" s="74"/>
      <c r="K43" s="85"/>
      <c r="L43" s="97"/>
      <c r="O43" s="99"/>
      <c r="P43" s="88"/>
      <c r="Q43" s="98"/>
      <c r="R43" s="83"/>
    </row>
    <row r="44" spans="4:18" ht="20.100000000000001" customHeight="1" x14ac:dyDescent="0.25">
      <c r="E44" s="102"/>
      <c r="J44" s="74"/>
      <c r="K44" s="85"/>
      <c r="L44" s="97"/>
      <c r="O44" s="99"/>
      <c r="P44" s="88"/>
      <c r="Q44" s="98"/>
      <c r="R44" s="83"/>
    </row>
    <row r="45" spans="4:18" ht="20.100000000000001" customHeight="1" x14ac:dyDescent="0.25">
      <c r="E45" s="102"/>
      <c r="J45" s="125" t="s">
        <v>203</v>
      </c>
      <c r="K45" s="130">
        <f>+((K48-K49)/(K55+K48-K49))^0.3</f>
        <v>0.99127774639267485</v>
      </c>
      <c r="L45" s="97"/>
      <c r="N45" s="127" t="s">
        <v>226</v>
      </c>
      <c r="O45" s="99"/>
      <c r="P45" s="88"/>
      <c r="Q45" s="98"/>
      <c r="R45" s="83"/>
    </row>
    <row r="46" spans="4:18" ht="20.100000000000001" customHeight="1" x14ac:dyDescent="0.25">
      <c r="E46" s="102"/>
      <c r="J46" s="74"/>
      <c r="K46" s="85"/>
      <c r="L46" s="97"/>
      <c r="O46" s="99"/>
      <c r="P46" s="88"/>
      <c r="Q46" s="98"/>
      <c r="R46" s="83"/>
    </row>
    <row r="47" spans="4:18" ht="20.100000000000001" customHeight="1" x14ac:dyDescent="0.25">
      <c r="D47" s="127" t="s">
        <v>253</v>
      </c>
      <c r="E47" s="102"/>
      <c r="J47" s="74"/>
      <c r="K47" s="85"/>
      <c r="L47" s="97"/>
      <c r="O47" s="99"/>
      <c r="P47" s="88"/>
      <c r="Q47" s="98"/>
      <c r="R47" s="83"/>
    </row>
    <row r="48" spans="4:18" ht="20.100000000000001" customHeight="1" x14ac:dyDescent="0.25">
      <c r="D48" s="127" t="s">
        <v>254</v>
      </c>
      <c r="E48" s="102"/>
      <c r="J48" s="125" t="s">
        <v>204</v>
      </c>
      <c r="K48" s="133">
        <f>M48*365</f>
        <v>18250</v>
      </c>
      <c r="L48" s="167" t="s">
        <v>306</v>
      </c>
      <c r="M48" s="166">
        <v>50</v>
      </c>
      <c r="N48" s="127" t="s">
        <v>227</v>
      </c>
      <c r="O48" s="99"/>
      <c r="P48" s="88"/>
      <c r="Q48" s="98"/>
      <c r="R48" s="83"/>
    </row>
    <row r="49" spans="4:18" ht="20.100000000000001" customHeight="1" x14ac:dyDescent="0.25">
      <c r="D49" s="127" t="s">
        <v>255</v>
      </c>
      <c r="E49" s="102"/>
      <c r="J49" s="125" t="s">
        <v>206</v>
      </c>
      <c r="K49" s="128">
        <v>28</v>
      </c>
      <c r="L49" s="127" t="s">
        <v>205</v>
      </c>
      <c r="N49" s="127" t="s">
        <v>297</v>
      </c>
      <c r="O49" s="99"/>
      <c r="P49" s="88"/>
      <c r="Q49" s="98"/>
      <c r="R49" s="83"/>
    </row>
    <row r="50" spans="4:18" ht="20.100000000000001" customHeight="1" x14ac:dyDescent="0.25">
      <c r="D50" s="127" t="s">
        <v>207</v>
      </c>
      <c r="E50" s="102"/>
      <c r="J50" s="74"/>
      <c r="K50" s="85"/>
      <c r="L50" s="97"/>
      <c r="O50" s="99"/>
      <c r="P50" s="88"/>
      <c r="Q50" s="98"/>
      <c r="R50" s="83"/>
    </row>
    <row r="51" spans="4:18" ht="20.100000000000001" customHeight="1" x14ac:dyDescent="0.25">
      <c r="D51" s="127" t="s">
        <v>208</v>
      </c>
      <c r="E51" s="102"/>
      <c r="J51" s="74"/>
      <c r="K51" s="85"/>
      <c r="L51" s="97"/>
      <c r="O51" s="99"/>
      <c r="P51" s="88"/>
      <c r="Q51" s="98"/>
      <c r="R51" s="83"/>
    </row>
    <row r="52" spans="4:18" ht="20.100000000000001" customHeight="1" x14ac:dyDescent="0.25">
      <c r="D52" s="127" t="s">
        <v>209</v>
      </c>
      <c r="E52" s="102"/>
      <c r="J52" s="74"/>
      <c r="K52" s="85"/>
      <c r="L52" s="97"/>
      <c r="O52" s="99"/>
      <c r="P52" s="88"/>
      <c r="Q52" s="98"/>
      <c r="R52" s="83"/>
    </row>
    <row r="53" spans="4:18" ht="20.100000000000001" customHeight="1" x14ac:dyDescent="0.25">
      <c r="E53" s="102"/>
      <c r="J53" s="74"/>
      <c r="K53" s="85"/>
      <c r="L53" s="97"/>
      <c r="O53" s="99"/>
      <c r="P53" s="88"/>
      <c r="Q53" s="98"/>
      <c r="R53" s="83"/>
    </row>
    <row r="54" spans="4:18" ht="20.100000000000001" customHeight="1" x14ac:dyDescent="0.25">
      <c r="E54" s="102"/>
      <c r="J54" s="74"/>
      <c r="K54" s="85"/>
      <c r="L54" s="97"/>
      <c r="O54" s="99"/>
      <c r="P54" s="88"/>
      <c r="Q54" s="98"/>
      <c r="R54" s="83"/>
    </row>
    <row r="55" spans="4:18" ht="20.100000000000001" customHeight="1" x14ac:dyDescent="0.25">
      <c r="E55" s="102"/>
      <c r="J55" s="125" t="s">
        <v>210</v>
      </c>
      <c r="K55" s="85">
        <f>IF($K$12&gt;35,MIN(1.5*(1+(0.012*$K$30)^18)*$K$38+250*K58,1500*K58),MIN(1.5*(1+(0.012*$K$30)^18)*$K$38+250,1500))</f>
        <v>539.95918547134875</v>
      </c>
      <c r="L55" s="81"/>
      <c r="N55" s="127" t="s">
        <v>228</v>
      </c>
      <c r="O55" s="97"/>
      <c r="Q55" s="98"/>
      <c r="R55" s="83"/>
    </row>
    <row r="56" spans="4:18" ht="20.100000000000001" customHeight="1" x14ac:dyDescent="0.25">
      <c r="E56" s="102"/>
      <c r="J56" s="125" t="s">
        <v>211</v>
      </c>
      <c r="K56" s="83">
        <f>+(35/$K$12)^0.7</f>
        <v>0.94405894904328347</v>
      </c>
      <c r="L56" s="81"/>
      <c r="O56" s="97"/>
      <c r="Q56" s="98"/>
      <c r="R56" s="83"/>
    </row>
    <row r="57" spans="4:18" ht="20.100000000000001" customHeight="1" x14ac:dyDescent="0.25">
      <c r="E57" s="102"/>
      <c r="J57" s="125" t="s">
        <v>212</v>
      </c>
      <c r="K57" s="83">
        <f>+(35/$K$12)^0.2</f>
        <v>0.98368690390810465</v>
      </c>
      <c r="L57" s="81"/>
      <c r="O57" s="97"/>
      <c r="Q57" s="98"/>
      <c r="R57" s="83"/>
    </row>
    <row r="58" spans="4:18" ht="20.100000000000001" customHeight="1" x14ac:dyDescent="0.25">
      <c r="E58" s="102"/>
      <c r="J58" s="125" t="s">
        <v>213</v>
      </c>
      <c r="K58" s="83">
        <f>+(35/$K$12)^0.5</f>
        <v>0.95971486993739308</v>
      </c>
      <c r="L58" s="81"/>
      <c r="O58" s="97"/>
      <c r="Q58" s="98"/>
      <c r="R58" s="83"/>
    </row>
    <row r="59" spans="4:18" ht="20.100000000000001" customHeight="1" x14ac:dyDescent="0.25">
      <c r="D59" s="117"/>
      <c r="E59" s="118" t="s">
        <v>176</v>
      </c>
      <c r="F59" s="118"/>
      <c r="G59" s="118"/>
      <c r="H59" s="118"/>
      <c r="I59" s="118"/>
      <c r="J59" s="118"/>
      <c r="K59" s="119"/>
      <c r="L59" s="118"/>
      <c r="M59" s="120"/>
    </row>
    <row r="60" spans="4:18" ht="20.100000000000001" customHeight="1" x14ac:dyDescent="0.25">
      <c r="F60" s="127" t="s">
        <v>233</v>
      </c>
      <c r="K60" s="157">
        <f>+K20</f>
        <v>2.345772095135886</v>
      </c>
    </row>
    <row r="61" spans="4:18" ht="20.100000000000001" customHeight="1" x14ac:dyDescent="0.25">
      <c r="E61" s="78"/>
      <c r="K61" s="80"/>
    </row>
    <row r="62" spans="4:18" ht="20.100000000000001" customHeight="1" x14ac:dyDescent="0.25">
      <c r="K62" s="80"/>
    </row>
  </sheetData>
  <mergeCells count="4">
    <mergeCell ref="L1:M1"/>
    <mergeCell ref="D1:G1"/>
    <mergeCell ref="F4:M5"/>
    <mergeCell ref="D4:E8"/>
  </mergeCells>
  <conditionalFormatting sqref="K13:K14">
    <cfRule type="cellIs" dxfId="3" priority="3" operator="greaterThan">
      <formula>420</formula>
    </cfRule>
  </conditionalFormatting>
  <conditionalFormatting sqref="K25">
    <cfRule type="cellIs" dxfId="2" priority="2" operator="greaterThan">
      <formula>$K$24</formula>
    </cfRule>
  </conditionalFormatting>
  <conditionalFormatting sqref="P29:P54">
    <cfRule type="cellIs" dxfId="1" priority="12" operator="lessThan">
      <formula>$K$55</formula>
    </cfRule>
  </conditionalFormatting>
  <dataValidations count="1">
    <dataValidation type="list" allowBlank="1" showInputMessage="1" showErrorMessage="1" sqref="H11:H12">
      <formula1>crtec</formula1>
    </dataValidation>
  </dataValidations>
  <printOptions horizontalCentered="1"/>
  <pageMargins left="0.7" right="0.25" top="0.5" bottom="0.5" header="0.25" footer="0.25"/>
  <pageSetup paperSize="9" orientation="portrait" horizontalDpi="4294967292"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50"/>
  <sheetViews>
    <sheetView showGridLines="0" view="pageBreakPreview" zoomScale="85" zoomScaleSheetLayoutView="85" workbookViewId="0">
      <selection activeCell="T18" sqref="T18"/>
    </sheetView>
  </sheetViews>
  <sheetFormatPr defaultRowHeight="20.100000000000001" customHeight="1" x14ac:dyDescent="0.25"/>
  <cols>
    <col min="1" max="3" width="9.140625" style="65"/>
    <col min="4" max="12" width="8.7109375" style="65" customWidth="1"/>
    <col min="13" max="13" width="9.7109375" style="65" customWidth="1"/>
    <col min="14" max="14" width="10.5703125" style="65" bestFit="1" customWidth="1"/>
    <col min="15" max="16384" width="9.140625" style="65"/>
  </cols>
  <sheetData>
    <row r="1" spans="4:15" ht="20.100000000000001" customHeight="1" x14ac:dyDescent="0.25">
      <c r="D1" s="169" t="s">
        <v>6</v>
      </c>
      <c r="E1" s="169"/>
      <c r="F1" s="169"/>
      <c r="G1" s="169"/>
      <c r="H1" s="64"/>
      <c r="L1" s="168">
        <f ca="1">NOW()</f>
        <v>43305.449066782407</v>
      </c>
      <c r="M1" s="168"/>
    </row>
    <row r="2" spans="4:15" ht="20.100000000000001" customHeight="1" x14ac:dyDescent="0.25">
      <c r="D2" s="66" t="s">
        <v>0</v>
      </c>
      <c r="E2" s="66"/>
      <c r="F2" s="66"/>
      <c r="G2" s="66"/>
      <c r="H2" s="66"/>
      <c r="I2" s="66" t="s">
        <v>3</v>
      </c>
      <c r="J2" s="66"/>
      <c r="K2" s="66"/>
      <c r="L2" s="66" t="s">
        <v>5</v>
      </c>
      <c r="M2" s="67">
        <f ca="1">NOW()</f>
        <v>43305.449066782407</v>
      </c>
    </row>
    <row r="3" spans="4:15" ht="20.100000000000001" customHeight="1" x14ac:dyDescent="0.25">
      <c r="D3" s="66" t="s">
        <v>1</v>
      </c>
      <c r="E3" s="66"/>
      <c r="F3" s="66" t="s">
        <v>2</v>
      </c>
      <c r="G3" s="66"/>
      <c r="H3" s="66"/>
      <c r="I3" s="66" t="s">
        <v>4</v>
      </c>
      <c r="J3" s="66"/>
      <c r="K3" s="66"/>
      <c r="L3" s="68" t="s">
        <v>114</v>
      </c>
      <c r="M3" s="69" t="s">
        <v>119</v>
      </c>
    </row>
    <row r="4" spans="4:15" ht="20.100000000000001" customHeight="1" x14ac:dyDescent="0.25">
      <c r="D4" s="176" t="s">
        <v>118</v>
      </c>
      <c r="E4" s="177"/>
      <c r="F4" s="170" t="s">
        <v>296</v>
      </c>
      <c r="G4" s="171"/>
      <c r="H4" s="171"/>
      <c r="I4" s="171"/>
      <c r="J4" s="171"/>
      <c r="K4" s="171"/>
      <c r="L4" s="171"/>
      <c r="M4" s="172"/>
      <c r="O4" s="123" t="s">
        <v>179</v>
      </c>
    </row>
    <row r="5" spans="4:15" ht="20.100000000000001" customHeight="1" x14ac:dyDescent="0.25">
      <c r="D5" s="178"/>
      <c r="E5" s="179"/>
      <c r="F5" s="173"/>
      <c r="G5" s="174"/>
      <c r="H5" s="174"/>
      <c r="I5" s="174"/>
      <c r="J5" s="174"/>
      <c r="K5" s="174"/>
      <c r="L5" s="174"/>
      <c r="M5" s="175"/>
      <c r="O5" s="124" t="s">
        <v>180</v>
      </c>
    </row>
    <row r="6" spans="4:15" ht="20.100000000000001" customHeight="1" x14ac:dyDescent="0.25">
      <c r="D6" s="178"/>
      <c r="E6" s="179"/>
      <c r="F6" s="103" t="s">
        <v>110</v>
      </c>
      <c r="G6" s="121" t="str">
        <f>INPUT!$J$2</f>
        <v>Milco - Kizad</v>
      </c>
      <c r="H6" s="93"/>
      <c r="I6" s="92"/>
      <c r="J6" s="91" t="s">
        <v>113</v>
      </c>
      <c r="K6" s="70"/>
      <c r="L6" s="70"/>
      <c r="M6" s="104"/>
      <c r="O6" s="124" t="s">
        <v>229</v>
      </c>
    </row>
    <row r="7" spans="4:15" ht="20.100000000000001" customHeight="1" x14ac:dyDescent="0.25">
      <c r="D7" s="178"/>
      <c r="E7" s="179"/>
      <c r="F7" s="105"/>
      <c r="G7" s="94"/>
      <c r="H7" s="95"/>
      <c r="I7" s="96"/>
      <c r="J7" s="71"/>
      <c r="K7" s="72"/>
      <c r="L7" s="72"/>
      <c r="M7" s="106"/>
    </row>
    <row r="8" spans="4:15" ht="20.100000000000001" customHeight="1" x14ac:dyDescent="0.25">
      <c r="D8" s="180"/>
      <c r="E8" s="181"/>
      <c r="F8" s="107" t="s">
        <v>111</v>
      </c>
      <c r="G8" s="122" t="str">
        <f>INPUT!$J$3</f>
        <v>Roof</v>
      </c>
      <c r="H8" s="108"/>
      <c r="I8" s="109"/>
      <c r="J8" s="107" t="s">
        <v>112</v>
      </c>
      <c r="K8" s="110">
        <f ca="1">NOW()</f>
        <v>43305.449066782407</v>
      </c>
      <c r="L8" s="107" t="s">
        <v>114</v>
      </c>
      <c r="M8" s="111" t="str">
        <f>M3</f>
        <v>00</v>
      </c>
      <c r="O8" s="127" t="s">
        <v>286</v>
      </c>
    </row>
    <row r="9" spans="4:15" ht="20.100000000000001" customHeight="1" x14ac:dyDescent="0.25">
      <c r="D9" s="113"/>
      <c r="E9" s="114" t="s">
        <v>174</v>
      </c>
      <c r="F9" s="115"/>
      <c r="G9" s="114"/>
      <c r="H9" s="114"/>
      <c r="I9" s="114"/>
      <c r="J9" s="114"/>
      <c r="K9" s="114"/>
      <c r="L9" s="114"/>
      <c r="M9" s="116"/>
    </row>
    <row r="10" spans="4:15" ht="20.100000000000001" customHeight="1" x14ac:dyDescent="0.25">
      <c r="D10" s="112" t="s">
        <v>178</v>
      </c>
    </row>
    <row r="11" spans="4:15" ht="20.100000000000001" customHeight="1" x14ac:dyDescent="0.25">
      <c r="E11" s="73" t="s">
        <v>115</v>
      </c>
      <c r="H11" s="65" t="str">
        <f>INPUT!$G$4</f>
        <v>C30/37</v>
      </c>
      <c r="J11" s="125" t="s">
        <v>181</v>
      </c>
      <c r="K11" s="75">
        <f>INPUT!$J$4</f>
        <v>30</v>
      </c>
      <c r="L11" s="76" t="s">
        <v>8</v>
      </c>
    </row>
    <row r="12" spans="4:15" ht="20.100000000000001" customHeight="1" x14ac:dyDescent="0.25">
      <c r="E12" s="73"/>
      <c r="J12" s="125" t="s">
        <v>190</v>
      </c>
      <c r="K12" s="75">
        <f>+K11+8</f>
        <v>38</v>
      </c>
      <c r="L12" s="76" t="s">
        <v>8</v>
      </c>
    </row>
    <row r="13" spans="4:15" ht="20.100000000000001" customHeight="1" x14ac:dyDescent="0.25">
      <c r="E13" s="73"/>
      <c r="J13" s="125" t="s">
        <v>259</v>
      </c>
      <c r="K13" s="75">
        <v>10</v>
      </c>
      <c r="L13" s="76" t="s">
        <v>8</v>
      </c>
    </row>
    <row r="14" spans="4:15" ht="20.100000000000001" customHeight="1" x14ac:dyDescent="0.25">
      <c r="E14" s="73" t="s">
        <v>116</v>
      </c>
      <c r="J14" s="77" t="s">
        <v>117</v>
      </c>
      <c r="K14" s="75">
        <f>INPUT!$J$5</f>
        <v>420</v>
      </c>
      <c r="L14" s="76" t="s">
        <v>8</v>
      </c>
      <c r="N14" s="78"/>
      <c r="O14" s="78"/>
    </row>
    <row r="15" spans="4:15" ht="20.100000000000001" customHeight="1" x14ac:dyDescent="0.25">
      <c r="D15" s="112" t="s">
        <v>177</v>
      </c>
      <c r="E15" s="73"/>
      <c r="J15" s="100"/>
      <c r="K15" s="75"/>
      <c r="L15" s="76"/>
      <c r="N15" s="78"/>
      <c r="O15" s="78"/>
    </row>
    <row r="16" spans="4:15" ht="20.100000000000001" customHeight="1" x14ac:dyDescent="0.25">
      <c r="D16" s="112"/>
      <c r="E16" s="73"/>
      <c r="J16" s="125" t="s">
        <v>197</v>
      </c>
      <c r="K16" s="75">
        <f>CREEP!K15</f>
        <v>200</v>
      </c>
      <c r="L16" s="127" t="s">
        <v>196</v>
      </c>
      <c r="N16" s="78"/>
      <c r="O16" s="78"/>
    </row>
    <row r="17" spans="4:18" ht="20.100000000000001" customHeight="1" x14ac:dyDescent="0.25">
      <c r="D17" s="112"/>
      <c r="E17" s="73"/>
      <c r="J17" s="125" t="s">
        <v>198</v>
      </c>
      <c r="K17" s="75">
        <f>CREEP!K16</f>
        <v>180</v>
      </c>
      <c r="L17" s="127" t="s">
        <v>196</v>
      </c>
      <c r="N17" s="78"/>
      <c r="O17" s="78"/>
    </row>
    <row r="18" spans="4:18" ht="20.100000000000001" customHeight="1" x14ac:dyDescent="0.25">
      <c r="D18" s="112"/>
      <c r="E18" s="73"/>
      <c r="J18" s="125" t="s">
        <v>195</v>
      </c>
      <c r="K18" s="75">
        <f>CREEP!K17</f>
        <v>1000</v>
      </c>
      <c r="L18" s="127" t="s">
        <v>196</v>
      </c>
      <c r="N18" s="78"/>
      <c r="O18" s="78"/>
    </row>
    <row r="19" spans="4:18" ht="20.100000000000001" customHeight="1" x14ac:dyDescent="0.25">
      <c r="D19" s="117"/>
      <c r="E19" s="118" t="s">
        <v>175</v>
      </c>
      <c r="F19" s="118"/>
      <c r="G19" s="118"/>
      <c r="H19" s="118"/>
      <c r="I19" s="118"/>
      <c r="J19" s="118"/>
      <c r="K19" s="119"/>
      <c r="L19" s="118"/>
      <c r="M19" s="120"/>
    </row>
    <row r="20" spans="4:18" ht="20.100000000000001" customHeight="1" x14ac:dyDescent="0.25">
      <c r="D20" s="127" t="s">
        <v>234</v>
      </c>
      <c r="E20" s="79"/>
      <c r="J20" s="74"/>
      <c r="K20" s="84"/>
      <c r="L20" s="81"/>
    </row>
    <row r="21" spans="4:18" ht="20.100000000000001" customHeight="1" x14ac:dyDescent="0.25">
      <c r="E21" s="79"/>
      <c r="J21" s="125"/>
      <c r="K21" s="132"/>
      <c r="L21" s="81"/>
      <c r="N21" s="131"/>
      <c r="O21" s="127" t="s">
        <v>287</v>
      </c>
    </row>
    <row r="22" spans="4:18" ht="20.100000000000001" customHeight="1" x14ac:dyDescent="0.25">
      <c r="E22" s="79"/>
      <c r="J22" s="125"/>
      <c r="K22" s="132"/>
      <c r="L22" s="81"/>
      <c r="N22" s="131"/>
    </row>
    <row r="23" spans="4:18" ht="20.100000000000001" customHeight="1" x14ac:dyDescent="0.25">
      <c r="E23" s="79"/>
      <c r="J23" s="125" t="s">
        <v>250</v>
      </c>
      <c r="K23" s="149">
        <f>+(0.85*((220+110*K32)*EXP(-K33*K12/K13))/10^6)*K25</f>
        <v>6.6789202168127657E-4</v>
      </c>
      <c r="L23" s="81"/>
      <c r="N23" s="131"/>
      <c r="R23" s="127"/>
    </row>
    <row r="24" spans="4:18" ht="20.100000000000001" customHeight="1" x14ac:dyDescent="0.25">
      <c r="E24" s="79"/>
      <c r="J24" s="125"/>
      <c r="K24" s="142"/>
      <c r="L24" s="81"/>
      <c r="N24" s="131"/>
    </row>
    <row r="25" spans="4:18" ht="20.100000000000001" customHeight="1" x14ac:dyDescent="0.25">
      <c r="E25" s="79"/>
      <c r="J25" s="125" t="s">
        <v>256</v>
      </c>
      <c r="K25" s="134">
        <f>1.55*(1-(K27/100)^3)</f>
        <v>1.35625</v>
      </c>
      <c r="L25" s="81"/>
      <c r="N25" s="131"/>
      <c r="O25" s="127" t="s">
        <v>288</v>
      </c>
    </row>
    <row r="26" spans="4:18" ht="20.100000000000001" customHeight="1" x14ac:dyDescent="0.25">
      <c r="D26" s="127" t="s">
        <v>289</v>
      </c>
      <c r="E26" s="102"/>
      <c r="J26" s="74"/>
      <c r="K26" s="85"/>
      <c r="L26" s="97"/>
    </row>
    <row r="27" spans="4:18" ht="20.100000000000001" customHeight="1" x14ac:dyDescent="0.25">
      <c r="D27" s="127" t="s">
        <v>290</v>
      </c>
      <c r="E27" s="102"/>
      <c r="J27" s="125" t="s">
        <v>186</v>
      </c>
      <c r="K27" s="133">
        <f>CREEP!$K$30</f>
        <v>50</v>
      </c>
      <c r="L27" s="127" t="s">
        <v>187</v>
      </c>
      <c r="N27" s="127" t="s">
        <v>220</v>
      </c>
    </row>
    <row r="28" spans="4:18" ht="20.100000000000001" customHeight="1" x14ac:dyDescent="0.25">
      <c r="E28" s="102"/>
      <c r="J28" s="125" t="s">
        <v>252</v>
      </c>
      <c r="K28" s="133">
        <v>100</v>
      </c>
      <c r="L28" s="127" t="s">
        <v>187</v>
      </c>
      <c r="N28" s="127"/>
      <c r="P28" s="163" t="s">
        <v>305</v>
      </c>
    </row>
    <row r="29" spans="4:18" ht="20.100000000000001" customHeight="1" x14ac:dyDescent="0.25">
      <c r="D29" s="127" t="s">
        <v>235</v>
      </c>
      <c r="E29" s="79"/>
      <c r="J29" s="125"/>
      <c r="K29" s="140" t="s">
        <v>239</v>
      </c>
      <c r="L29" s="81"/>
      <c r="N29" s="131"/>
      <c r="P29" s="145" t="s">
        <v>304</v>
      </c>
    </row>
    <row r="30" spans="4:18" ht="20.100000000000001" customHeight="1" x14ac:dyDescent="0.25">
      <c r="D30" s="127" t="s">
        <v>246</v>
      </c>
      <c r="E30" s="79"/>
      <c r="J30" s="125"/>
      <c r="K30" s="75" t="str">
        <f>VLOOKUP($K$29,DT!$K$106:$L$111,2,0)</f>
        <v>R</v>
      </c>
      <c r="L30" s="81"/>
      <c r="N30" s="127" t="s">
        <v>251</v>
      </c>
      <c r="P30" s="146" t="s">
        <v>260</v>
      </c>
    </row>
    <row r="31" spans="4:18" ht="20.100000000000001" customHeight="1" x14ac:dyDescent="0.25">
      <c r="D31" s="127" t="s">
        <v>247</v>
      </c>
      <c r="E31" s="79"/>
      <c r="J31" s="125"/>
      <c r="K31" s="132"/>
      <c r="L31" s="81"/>
      <c r="N31" s="131"/>
      <c r="P31" s="127" t="s">
        <v>261</v>
      </c>
    </row>
    <row r="32" spans="4:18" ht="20.100000000000001" customHeight="1" x14ac:dyDescent="0.25">
      <c r="E32" s="79"/>
      <c r="J32" s="125" t="s">
        <v>248</v>
      </c>
      <c r="K32" s="133">
        <f>IF(K30="S",3,IF(K30="N",4,6))</f>
        <v>6</v>
      </c>
      <c r="L32" s="81"/>
      <c r="N32" s="131"/>
      <c r="P32" s="146" t="s">
        <v>262</v>
      </c>
    </row>
    <row r="33" spans="1:17" ht="20.100000000000001" customHeight="1" x14ac:dyDescent="0.25">
      <c r="E33" s="79"/>
      <c r="J33" s="125" t="s">
        <v>249</v>
      </c>
      <c r="K33" s="141">
        <f>IF(K30="S",0.13,IF(K30="N",0.12,0.11))</f>
        <v>0.11</v>
      </c>
      <c r="L33" s="81"/>
      <c r="N33" s="131"/>
      <c r="P33" s="127" t="s">
        <v>263</v>
      </c>
    </row>
    <row r="34" spans="1:17" ht="20.100000000000001" customHeight="1" x14ac:dyDescent="0.25">
      <c r="D34" s="127" t="s">
        <v>278</v>
      </c>
      <c r="E34" s="79"/>
      <c r="J34" s="125"/>
      <c r="K34" s="141"/>
      <c r="L34" s="81"/>
      <c r="N34" s="131"/>
      <c r="P34" s="147" t="s">
        <v>264</v>
      </c>
    </row>
    <row r="35" spans="1:17" ht="20.100000000000001" customHeight="1" x14ac:dyDescent="0.25">
      <c r="A35" s="127" t="s">
        <v>284</v>
      </c>
      <c r="E35" s="79"/>
      <c r="J35" s="125" t="s">
        <v>279</v>
      </c>
      <c r="K35" s="142">
        <f>+K38*K37*K23</f>
        <v>5.6420517110197083E-4</v>
      </c>
      <c r="L35" s="81"/>
      <c r="M35" s="112"/>
      <c r="N35" s="131"/>
      <c r="P35" s="127" t="s">
        <v>265</v>
      </c>
    </row>
    <row r="36" spans="1:17" ht="20.100000000000001" customHeight="1" x14ac:dyDescent="0.25">
      <c r="E36" s="79"/>
      <c r="J36" s="125" t="s">
        <v>280</v>
      </c>
      <c r="K36" s="133">
        <f>CREEP!$K$38</f>
        <v>200</v>
      </c>
      <c r="L36" s="81"/>
      <c r="P36" s="146" t="s">
        <v>266</v>
      </c>
    </row>
    <row r="37" spans="1:17" ht="20.100000000000001" customHeight="1" x14ac:dyDescent="0.25">
      <c r="E37" s="79"/>
      <c r="J37" s="125" t="s">
        <v>281</v>
      </c>
      <c r="K37" s="141">
        <f>N48</f>
        <v>0.85</v>
      </c>
      <c r="L37" s="81"/>
      <c r="N37" s="127" t="s">
        <v>292</v>
      </c>
      <c r="P37" s="127" t="s">
        <v>267</v>
      </c>
    </row>
    <row r="38" spans="1:17" ht="20.100000000000001" customHeight="1" x14ac:dyDescent="0.25">
      <c r="E38" s="79"/>
      <c r="J38" s="125" t="s">
        <v>295</v>
      </c>
      <c r="K38" s="141">
        <f>+(CREEP!K48-CREEP!K49)/((CREEP!K48-CREEP!K49)+0.04*SQRT((CREEP!K38)^3))</f>
        <v>0.99382949336754789</v>
      </c>
      <c r="L38" s="81"/>
      <c r="N38" s="131"/>
      <c r="P38" s="146" t="s">
        <v>268</v>
      </c>
    </row>
    <row r="39" spans="1:17" ht="20.100000000000001" customHeight="1" x14ac:dyDescent="0.25">
      <c r="A39" s="127" t="s">
        <v>285</v>
      </c>
      <c r="D39" s="127" t="s">
        <v>274</v>
      </c>
      <c r="E39" s="79"/>
      <c r="J39" s="125" t="s">
        <v>275</v>
      </c>
      <c r="K39" s="150">
        <f>+K41*K40</f>
        <v>4.999999999990775E-5</v>
      </c>
      <c r="L39" s="81"/>
      <c r="M39" s="112"/>
      <c r="N39" s="131"/>
      <c r="P39" s="127" t="s">
        <v>269</v>
      </c>
    </row>
    <row r="40" spans="1:17" ht="20.100000000000001" customHeight="1" x14ac:dyDescent="0.25">
      <c r="E40" s="79"/>
      <c r="J40" s="125" t="s">
        <v>276</v>
      </c>
      <c r="K40" s="148">
        <f>2.5*($K$11-10)/10^6</f>
        <v>5.0000000000000002E-5</v>
      </c>
      <c r="L40" s="81"/>
      <c r="N40" s="131"/>
      <c r="P40" s="146" t="s">
        <v>270</v>
      </c>
    </row>
    <row r="41" spans="1:17" ht="20.100000000000001" customHeight="1" x14ac:dyDescent="0.25">
      <c r="E41" s="79"/>
      <c r="J41" s="125" t="s">
        <v>277</v>
      </c>
      <c r="K41" s="148">
        <f>1-EXP(-0.2*CREEP!$K$48^0.5)</f>
        <v>0.99999999999815492</v>
      </c>
      <c r="L41" s="81"/>
      <c r="N41" s="131"/>
      <c r="P41" s="127" t="s">
        <v>271</v>
      </c>
    </row>
    <row r="42" spans="1:17" ht="20.100000000000001" customHeight="1" thickBot="1" x14ac:dyDescent="0.3">
      <c r="D42" s="117"/>
      <c r="E42" s="118" t="s">
        <v>176</v>
      </c>
      <c r="F42" s="118"/>
      <c r="G42" s="118"/>
      <c r="H42" s="118"/>
      <c r="I42" s="118"/>
      <c r="J42" s="118"/>
      <c r="K42" s="119"/>
      <c r="L42" s="118"/>
      <c r="M42" s="120"/>
    </row>
    <row r="43" spans="1:17" ht="20.100000000000001" customHeight="1" thickTop="1" x14ac:dyDescent="0.25">
      <c r="E43" s="127"/>
      <c r="F43" s="127"/>
      <c r="J43" s="125" t="s">
        <v>291</v>
      </c>
      <c r="K43" s="142">
        <f>+K35+K39</f>
        <v>6.1420517110187859E-4</v>
      </c>
      <c r="P43" s="151" t="s">
        <v>293</v>
      </c>
      <c r="Q43" s="152" t="s">
        <v>294</v>
      </c>
    </row>
    <row r="44" spans="1:17" ht="20.100000000000001" customHeight="1" x14ac:dyDescent="0.25">
      <c r="E44" s="127"/>
      <c r="F44" s="127"/>
      <c r="J44" s="125"/>
      <c r="K44" s="142"/>
      <c r="P44" s="158">
        <v>1</v>
      </c>
      <c r="Q44" s="159">
        <v>2</v>
      </c>
    </row>
    <row r="45" spans="1:17" ht="20.100000000000001" customHeight="1" x14ac:dyDescent="0.25">
      <c r="E45" s="78"/>
      <c r="K45" s="80"/>
      <c r="P45" s="153">
        <v>100</v>
      </c>
      <c r="Q45" s="154">
        <v>1</v>
      </c>
    </row>
    <row r="46" spans="1:17" ht="20.100000000000001" customHeight="1" x14ac:dyDescent="0.25">
      <c r="K46" s="80"/>
      <c r="P46" s="153">
        <v>200</v>
      </c>
      <c r="Q46" s="154">
        <v>0.85</v>
      </c>
    </row>
    <row r="47" spans="1:17" ht="20.100000000000001" customHeight="1" x14ac:dyDescent="0.25">
      <c r="L47" s="165">
        <v>200</v>
      </c>
      <c r="M47" s="160"/>
      <c r="N47" s="160">
        <f>VLOOKUP(L47,$P$44:$Q$49,2,0)</f>
        <v>0.85</v>
      </c>
      <c r="P47" s="153">
        <v>300</v>
      </c>
      <c r="Q47" s="154">
        <v>0.75</v>
      </c>
    </row>
    <row r="48" spans="1:17" ht="20.100000000000001" customHeight="1" x14ac:dyDescent="0.25">
      <c r="L48" s="164">
        <f>K36</f>
        <v>200</v>
      </c>
      <c r="M48" s="161" t="s">
        <v>302</v>
      </c>
      <c r="N48" s="162">
        <f>+N47+(N49-N47)*(L48-L47)/(L49-L47)</f>
        <v>0.85</v>
      </c>
      <c r="P48" s="153">
        <v>500</v>
      </c>
      <c r="Q48" s="154">
        <v>0.7</v>
      </c>
    </row>
    <row r="49" spans="12:17" ht="20.100000000000001" customHeight="1" thickBot="1" x14ac:dyDescent="0.3">
      <c r="L49" s="165">
        <v>300</v>
      </c>
      <c r="M49" s="160"/>
      <c r="N49" s="160">
        <f>VLOOKUP(L49,$P$44:$Q$49,2,0)</f>
        <v>0.75</v>
      </c>
      <c r="P49" s="155">
        <v>10000</v>
      </c>
      <c r="Q49" s="156">
        <v>0.7</v>
      </c>
    </row>
    <row r="50" spans="12:17" ht="20.100000000000001" customHeight="1" thickTop="1" x14ac:dyDescent="0.25"/>
  </sheetData>
  <mergeCells count="4">
    <mergeCell ref="D1:G1"/>
    <mergeCell ref="L1:M1"/>
    <mergeCell ref="D4:E8"/>
    <mergeCell ref="F4:M5"/>
  </mergeCells>
  <conditionalFormatting sqref="K14:K15">
    <cfRule type="cellIs" dxfId="0" priority="3" operator="greaterThan">
      <formula>420</formula>
    </cfRule>
  </conditionalFormatting>
  <dataValidations count="2">
    <dataValidation type="list" allowBlank="1" showInputMessage="1" showErrorMessage="1" sqref="K29">
      <formula1>cement</formula1>
    </dataValidation>
    <dataValidation type="list" allowBlank="1" showInputMessage="1" showErrorMessage="1" sqref="H11">
      <formula1>crtec</formula1>
    </dataValidation>
  </dataValidations>
  <printOptions horizontalCentered="1"/>
  <pageMargins left="0.7" right="0.25" top="0.5" bottom="0.5" header="0.25" footer="0.25"/>
  <pageSetup paperSize="9" scale="99" orientation="portrait" horizont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133"/>
  <sheetViews>
    <sheetView topLeftCell="A130" workbookViewId="0">
      <selection activeCell="K115" sqref="K115"/>
    </sheetView>
  </sheetViews>
  <sheetFormatPr defaultRowHeight="20.100000000000001" customHeight="1" x14ac:dyDescent="0.2"/>
  <cols>
    <col min="1" max="16384" width="9.140625" style="1"/>
  </cols>
  <sheetData>
    <row r="1" spans="1:16" ht="20.100000000000001" customHeight="1" x14ac:dyDescent="0.2">
      <c r="D1" s="183" t="s">
        <v>71</v>
      </c>
      <c r="E1" s="184"/>
      <c r="F1" s="184"/>
      <c r="G1" s="184"/>
      <c r="H1" s="184"/>
      <c r="I1" s="184"/>
      <c r="J1" s="184"/>
      <c r="K1" s="184"/>
      <c r="L1" s="184"/>
      <c r="M1" s="185"/>
    </row>
    <row r="2" spans="1:16" ht="20.100000000000001" customHeight="1" x14ac:dyDescent="0.2">
      <c r="B2" s="2"/>
      <c r="C2" s="2"/>
      <c r="D2" s="186"/>
      <c r="E2" s="187"/>
      <c r="F2" s="187"/>
      <c r="G2" s="187"/>
      <c r="H2" s="187"/>
      <c r="I2" s="187"/>
      <c r="J2" s="187"/>
      <c r="K2" s="187"/>
      <c r="L2" s="187"/>
      <c r="M2" s="188"/>
    </row>
    <row r="3" spans="1:16" ht="20.100000000000001" customHeight="1" x14ac:dyDescent="0.2">
      <c r="A3" s="3" t="s">
        <v>72</v>
      </c>
      <c r="B3" s="2"/>
      <c r="C3" s="4"/>
      <c r="D3" s="4"/>
      <c r="E3" s="4" t="s">
        <v>7</v>
      </c>
      <c r="F3" s="4" t="s">
        <v>8</v>
      </c>
      <c r="G3" s="4"/>
      <c r="H3" s="4"/>
      <c r="I3" s="2"/>
      <c r="J3" s="2"/>
      <c r="K3" s="2"/>
    </row>
    <row r="4" spans="1:16" ht="20.100000000000001" customHeight="1" x14ac:dyDescent="0.2">
      <c r="B4" s="2"/>
      <c r="C4" s="2"/>
      <c r="D4" s="2"/>
      <c r="E4" s="2"/>
      <c r="F4" s="2"/>
      <c r="G4" s="2"/>
      <c r="H4" s="2"/>
      <c r="I4" s="2"/>
      <c r="J4" s="2"/>
      <c r="K4" s="2"/>
    </row>
    <row r="5" spans="1:16" ht="20.100000000000001" customHeight="1" x14ac:dyDescent="0.2">
      <c r="B5" s="189" t="s">
        <v>73</v>
      </c>
      <c r="C5" s="189"/>
      <c r="D5" s="5" t="s">
        <v>9</v>
      </c>
      <c r="E5" s="5" t="s">
        <v>10</v>
      </c>
      <c r="F5" s="5" t="s">
        <v>11</v>
      </c>
      <c r="G5" s="5" t="s">
        <v>12</v>
      </c>
      <c r="H5" s="5" t="s">
        <v>13</v>
      </c>
      <c r="I5" s="5" t="s">
        <v>14</v>
      </c>
      <c r="J5" s="5" t="s">
        <v>15</v>
      </c>
      <c r="K5" s="5" t="s">
        <v>16</v>
      </c>
      <c r="L5" s="5" t="s">
        <v>17</v>
      </c>
      <c r="M5" s="5" t="s">
        <v>18</v>
      </c>
      <c r="N5" s="5" t="s">
        <v>19</v>
      </c>
    </row>
    <row r="6" spans="1:16" ht="20.100000000000001" customHeight="1" x14ac:dyDescent="0.2">
      <c r="B6" s="189" t="s">
        <v>20</v>
      </c>
      <c r="C6" s="189"/>
      <c r="D6" s="5" t="s">
        <v>21</v>
      </c>
      <c r="E6" s="5" t="s">
        <v>22</v>
      </c>
      <c r="F6" s="5" t="s">
        <v>23</v>
      </c>
      <c r="G6" s="5" t="s">
        <v>24</v>
      </c>
      <c r="H6" s="5" t="s">
        <v>25</v>
      </c>
      <c r="I6" s="5" t="s">
        <v>26</v>
      </c>
      <c r="J6" s="5" t="s">
        <v>27</v>
      </c>
      <c r="K6" s="5" t="s">
        <v>28</v>
      </c>
      <c r="L6" s="5" t="s">
        <v>29</v>
      </c>
      <c r="M6" s="5" t="s">
        <v>29</v>
      </c>
      <c r="N6" s="5" t="s">
        <v>30</v>
      </c>
    </row>
    <row r="7" spans="1:16" ht="20.100000000000001" customHeight="1" x14ac:dyDescent="0.2">
      <c r="B7" s="182" t="s">
        <v>59</v>
      </c>
      <c r="C7" s="182"/>
      <c r="D7" s="5">
        <v>23</v>
      </c>
      <c r="E7" s="5">
        <v>27</v>
      </c>
      <c r="F7" s="6">
        <v>28.5</v>
      </c>
      <c r="G7" s="5">
        <v>30</v>
      </c>
      <c r="H7" s="5">
        <v>32.5</v>
      </c>
      <c r="I7" s="5">
        <v>34.5</v>
      </c>
      <c r="J7" s="5">
        <v>36</v>
      </c>
      <c r="K7" s="5">
        <v>37.5</v>
      </c>
      <c r="L7" s="5">
        <v>39</v>
      </c>
      <c r="M7" s="5">
        <v>39.5</v>
      </c>
      <c r="N7" s="5">
        <v>40</v>
      </c>
    </row>
    <row r="8" spans="1:16" ht="20.100000000000001" customHeight="1" x14ac:dyDescent="0.2">
      <c r="B8" s="182" t="s">
        <v>60</v>
      </c>
      <c r="C8" s="182"/>
      <c r="D8" s="5">
        <v>8.5</v>
      </c>
      <c r="E8" s="5">
        <v>11.5</v>
      </c>
      <c r="F8" s="5">
        <v>13</v>
      </c>
      <c r="G8" s="5">
        <v>14.5</v>
      </c>
      <c r="H8" s="5">
        <v>17</v>
      </c>
      <c r="I8" s="5">
        <v>19.5</v>
      </c>
      <c r="J8" s="5">
        <v>22</v>
      </c>
      <c r="K8" s="5">
        <v>25</v>
      </c>
      <c r="L8" s="5">
        <v>27.5</v>
      </c>
      <c r="M8" s="5">
        <v>30</v>
      </c>
      <c r="N8" s="5">
        <v>33</v>
      </c>
    </row>
    <row r="9" spans="1:16" ht="20.100000000000001" customHeight="1" x14ac:dyDescent="0.2">
      <c r="B9" s="182" t="s">
        <v>61</v>
      </c>
      <c r="C9" s="182"/>
      <c r="D9" s="5">
        <v>0.75</v>
      </c>
      <c r="E9" s="5">
        <v>0.9</v>
      </c>
      <c r="F9" s="5">
        <v>1</v>
      </c>
      <c r="G9" s="5">
        <v>1.05</v>
      </c>
      <c r="H9" s="5">
        <v>1.2</v>
      </c>
      <c r="I9" s="5">
        <v>1.3</v>
      </c>
      <c r="J9" s="5">
        <v>1.4</v>
      </c>
      <c r="K9" s="5">
        <v>1.45</v>
      </c>
      <c r="L9" s="5">
        <v>1.55</v>
      </c>
      <c r="M9" s="5">
        <v>1.6</v>
      </c>
      <c r="N9" s="5">
        <v>1.65</v>
      </c>
    </row>
    <row r="11" spans="1:16" ht="20.100000000000001" customHeight="1" x14ac:dyDescent="0.2">
      <c r="A11" s="3" t="s">
        <v>74</v>
      </c>
      <c r="E11" s="4" t="s">
        <v>7</v>
      </c>
      <c r="F11" s="4" t="s">
        <v>8</v>
      </c>
    </row>
    <row r="13" spans="1:16" ht="20.100000000000001" customHeight="1" x14ac:dyDescent="0.2">
      <c r="B13" s="190" t="s">
        <v>31</v>
      </c>
      <c r="C13" s="190"/>
      <c r="D13" s="7" t="s">
        <v>32</v>
      </c>
      <c r="E13" s="7" t="s">
        <v>33</v>
      </c>
      <c r="F13" s="7" t="s">
        <v>34</v>
      </c>
      <c r="G13" s="7" t="s">
        <v>35</v>
      </c>
      <c r="H13" s="7" t="s">
        <v>36</v>
      </c>
      <c r="I13" s="7" t="s">
        <v>37</v>
      </c>
      <c r="J13" s="7" t="s">
        <v>38</v>
      </c>
      <c r="K13" s="7" t="s">
        <v>39</v>
      </c>
      <c r="L13" s="7" t="s">
        <v>40</v>
      </c>
      <c r="M13" s="7" t="s">
        <v>41</v>
      </c>
      <c r="N13" s="7" t="s">
        <v>42</v>
      </c>
      <c r="O13" s="7" t="s">
        <v>43</v>
      </c>
      <c r="P13" s="7" t="s">
        <v>44</v>
      </c>
    </row>
    <row r="14" spans="1:16" ht="20.100000000000001" customHeight="1" x14ac:dyDescent="0.2">
      <c r="B14" s="191" t="s">
        <v>62</v>
      </c>
      <c r="C14" s="191"/>
      <c r="D14" s="8">
        <v>225</v>
      </c>
      <c r="E14" s="8">
        <v>280</v>
      </c>
      <c r="F14" s="8">
        <v>365</v>
      </c>
      <c r="G14" s="8">
        <v>510</v>
      </c>
      <c r="H14" s="8">
        <v>225</v>
      </c>
      <c r="I14" s="8">
        <v>280</v>
      </c>
      <c r="J14" s="8">
        <v>365</v>
      </c>
      <c r="K14" s="8">
        <v>510</v>
      </c>
      <c r="L14" s="8">
        <v>280</v>
      </c>
      <c r="M14" s="8">
        <v>365</v>
      </c>
      <c r="N14" s="8">
        <v>365</v>
      </c>
      <c r="O14" s="8">
        <v>400</v>
      </c>
      <c r="P14" s="8">
        <v>400</v>
      </c>
    </row>
    <row r="15" spans="1:16" ht="20.100000000000001" customHeight="1" x14ac:dyDescent="0.2">
      <c r="B15" s="191" t="s">
        <v>63</v>
      </c>
      <c r="C15" s="191"/>
      <c r="D15" s="8">
        <v>225</v>
      </c>
      <c r="E15" s="8">
        <v>280</v>
      </c>
      <c r="F15" s="8">
        <v>365</v>
      </c>
      <c r="G15" s="8">
        <v>450</v>
      </c>
      <c r="H15" s="8">
        <v>225</v>
      </c>
      <c r="I15" s="8">
        <v>280</v>
      </c>
      <c r="J15" s="8">
        <v>365</v>
      </c>
      <c r="K15" s="8">
        <v>450</v>
      </c>
      <c r="L15" s="8">
        <v>280</v>
      </c>
      <c r="M15" s="8">
        <v>365</v>
      </c>
      <c r="N15" s="8">
        <v>365</v>
      </c>
      <c r="O15" s="8">
        <v>400</v>
      </c>
      <c r="P15" s="8">
        <v>400</v>
      </c>
    </row>
    <row r="16" spans="1:16" ht="20.100000000000001" customHeight="1" x14ac:dyDescent="0.2">
      <c r="B16" s="191" t="s">
        <v>64</v>
      </c>
      <c r="C16" s="191"/>
      <c r="D16" s="8">
        <v>21</v>
      </c>
      <c r="E16" s="8">
        <v>21</v>
      </c>
      <c r="F16" s="8">
        <v>20</v>
      </c>
      <c r="G16" s="8">
        <v>19</v>
      </c>
      <c r="H16" s="8">
        <v>21</v>
      </c>
      <c r="I16" s="8">
        <v>21</v>
      </c>
      <c r="J16" s="8">
        <v>20</v>
      </c>
      <c r="K16" s="8">
        <v>19</v>
      </c>
      <c r="L16" s="8">
        <v>21</v>
      </c>
      <c r="M16" s="8">
        <v>20</v>
      </c>
      <c r="N16" s="8">
        <v>20</v>
      </c>
      <c r="O16" s="8">
        <v>19</v>
      </c>
      <c r="P16" s="8">
        <v>19</v>
      </c>
    </row>
    <row r="17" spans="1:14" ht="20.100000000000001" customHeight="1" x14ac:dyDescent="0.2">
      <c r="A17" s="3" t="s">
        <v>45</v>
      </c>
    </row>
    <row r="19" spans="1:14" ht="20.100000000000001" customHeight="1" x14ac:dyDescent="0.2">
      <c r="B19" s="192" t="s">
        <v>58</v>
      </c>
      <c r="C19" s="193" t="s">
        <v>65</v>
      </c>
      <c r="D19" s="193"/>
      <c r="E19" s="193"/>
      <c r="F19" s="193"/>
      <c r="G19" s="193"/>
      <c r="H19" s="193"/>
      <c r="I19" s="193"/>
      <c r="J19" s="193"/>
      <c r="K19" s="193"/>
      <c r="L19" s="192" t="s">
        <v>46</v>
      </c>
      <c r="M19" s="192" t="s">
        <v>58</v>
      </c>
    </row>
    <row r="20" spans="1:14" ht="20.100000000000001" customHeight="1" x14ac:dyDescent="0.2">
      <c r="B20" s="192"/>
      <c r="C20" s="9">
        <v>1</v>
      </c>
      <c r="D20" s="9">
        <v>2</v>
      </c>
      <c r="E20" s="9">
        <v>3</v>
      </c>
      <c r="F20" s="9">
        <v>4</v>
      </c>
      <c r="G20" s="9">
        <v>5</v>
      </c>
      <c r="H20" s="9">
        <v>6</v>
      </c>
      <c r="I20" s="9">
        <v>7</v>
      </c>
      <c r="J20" s="9">
        <v>8</v>
      </c>
      <c r="K20" s="9">
        <v>9</v>
      </c>
      <c r="L20" s="192"/>
      <c r="M20" s="192"/>
    </row>
    <row r="21" spans="1:14" ht="20.100000000000001" customHeight="1" x14ac:dyDescent="0.2">
      <c r="B21" s="9">
        <v>6</v>
      </c>
      <c r="C21" s="10">
        <v>0.28300000000000003</v>
      </c>
      <c r="D21" s="11">
        <v>0.56999999999999995</v>
      </c>
      <c r="E21" s="11">
        <v>0.85</v>
      </c>
      <c r="F21" s="11">
        <v>1.1299999999999999</v>
      </c>
      <c r="G21" s="11">
        <v>1.42</v>
      </c>
      <c r="H21" s="11">
        <v>1.7</v>
      </c>
      <c r="I21" s="11">
        <v>1.98</v>
      </c>
      <c r="J21" s="11">
        <v>2.2599999999999998</v>
      </c>
      <c r="K21" s="12">
        <v>2.5499999999999998</v>
      </c>
      <c r="L21" s="11">
        <v>0.222</v>
      </c>
      <c r="M21" s="9">
        <v>6</v>
      </c>
      <c r="N21" s="13"/>
    </row>
    <row r="22" spans="1:14" ht="20.100000000000001" customHeight="1" x14ac:dyDescent="0.2">
      <c r="B22" s="14">
        <v>8</v>
      </c>
      <c r="C22" s="15">
        <v>0.503</v>
      </c>
      <c r="D22" s="16">
        <v>1</v>
      </c>
      <c r="E22" s="16">
        <v>1.51</v>
      </c>
      <c r="F22" s="16">
        <v>2.0099999999999998</v>
      </c>
      <c r="G22" s="16">
        <v>2.52</v>
      </c>
      <c r="H22" s="16">
        <v>3.02</v>
      </c>
      <c r="I22" s="16">
        <v>3.52</v>
      </c>
      <c r="J22" s="16">
        <v>4.0199999999999996</v>
      </c>
      <c r="K22" s="17">
        <v>4.53</v>
      </c>
      <c r="L22" s="16">
        <v>0.39500000000000002</v>
      </c>
      <c r="M22" s="14">
        <v>8</v>
      </c>
      <c r="N22" s="13"/>
    </row>
    <row r="23" spans="1:14" ht="20.100000000000001" customHeight="1" x14ac:dyDescent="0.2">
      <c r="B23" s="9">
        <v>10</v>
      </c>
      <c r="C23" s="10">
        <v>0.78500000000000003</v>
      </c>
      <c r="D23" s="11">
        <v>1.57</v>
      </c>
      <c r="E23" s="11">
        <v>2.36</v>
      </c>
      <c r="F23" s="11">
        <v>3.14</v>
      </c>
      <c r="G23" s="11">
        <v>3.93</v>
      </c>
      <c r="H23" s="11">
        <v>4.71</v>
      </c>
      <c r="I23" s="11">
        <v>5.5</v>
      </c>
      <c r="J23" s="11">
        <v>6.28</v>
      </c>
      <c r="K23" s="12">
        <v>7.07</v>
      </c>
      <c r="L23" s="11">
        <v>0.61699999999999999</v>
      </c>
      <c r="M23" s="9">
        <v>10</v>
      </c>
      <c r="N23" s="13"/>
    </row>
    <row r="24" spans="1:14" ht="20.100000000000001" customHeight="1" x14ac:dyDescent="0.2">
      <c r="B24" s="14">
        <v>12</v>
      </c>
      <c r="C24" s="15">
        <v>1.1299999999999999</v>
      </c>
      <c r="D24" s="16">
        <v>2.2599999999999998</v>
      </c>
      <c r="E24" s="16">
        <v>3.39</v>
      </c>
      <c r="F24" s="16">
        <v>4.5199999999999996</v>
      </c>
      <c r="G24" s="16">
        <v>5.65</v>
      </c>
      <c r="H24" s="16">
        <v>6.78</v>
      </c>
      <c r="I24" s="16">
        <v>7.91</v>
      </c>
      <c r="J24" s="16">
        <v>9.0399999999999991</v>
      </c>
      <c r="K24" s="17">
        <v>10.17</v>
      </c>
      <c r="L24" s="16">
        <v>0.88800000000000001</v>
      </c>
      <c r="M24" s="14">
        <v>12</v>
      </c>
      <c r="N24" s="13"/>
    </row>
    <row r="25" spans="1:14" ht="20.100000000000001" customHeight="1" x14ac:dyDescent="0.2">
      <c r="B25" s="9">
        <v>14</v>
      </c>
      <c r="C25" s="10">
        <v>1.54</v>
      </c>
      <c r="D25" s="11">
        <v>3.08</v>
      </c>
      <c r="E25" s="11">
        <v>4.62</v>
      </c>
      <c r="F25" s="11">
        <v>6.16</v>
      </c>
      <c r="G25" s="11">
        <v>7.7</v>
      </c>
      <c r="H25" s="11">
        <v>9.24</v>
      </c>
      <c r="I25" s="11">
        <v>10.78</v>
      </c>
      <c r="J25" s="11">
        <v>12.32</v>
      </c>
      <c r="K25" s="12">
        <v>13.86</v>
      </c>
      <c r="L25" s="11">
        <v>1.208</v>
      </c>
      <c r="M25" s="9">
        <v>14</v>
      </c>
      <c r="N25" s="13"/>
    </row>
    <row r="26" spans="1:14" ht="20.100000000000001" customHeight="1" x14ac:dyDescent="0.2">
      <c r="B26" s="14">
        <v>16</v>
      </c>
      <c r="C26" s="15">
        <v>2.0099999999999998</v>
      </c>
      <c r="D26" s="16">
        <v>4.0199999999999996</v>
      </c>
      <c r="E26" s="16">
        <v>6.03</v>
      </c>
      <c r="F26" s="16">
        <v>8.0399999999999991</v>
      </c>
      <c r="G26" s="16">
        <v>10.050000000000001</v>
      </c>
      <c r="H26" s="16">
        <v>12.06</v>
      </c>
      <c r="I26" s="16">
        <v>14.07</v>
      </c>
      <c r="J26" s="16">
        <v>16.079999999999998</v>
      </c>
      <c r="K26" s="17">
        <v>18.09</v>
      </c>
      <c r="L26" s="16">
        <v>1.5780000000000001</v>
      </c>
      <c r="M26" s="14">
        <v>16</v>
      </c>
      <c r="N26" s="13"/>
    </row>
    <row r="27" spans="1:14" ht="20.100000000000001" customHeight="1" x14ac:dyDescent="0.2">
      <c r="B27" s="9">
        <v>18</v>
      </c>
      <c r="C27" s="10">
        <v>2.54</v>
      </c>
      <c r="D27" s="11">
        <v>5.09</v>
      </c>
      <c r="E27" s="11">
        <v>7.62</v>
      </c>
      <c r="F27" s="11">
        <v>10.16</v>
      </c>
      <c r="G27" s="11">
        <v>12.7</v>
      </c>
      <c r="H27" s="11">
        <v>15.24</v>
      </c>
      <c r="I27" s="11">
        <v>17.78</v>
      </c>
      <c r="J27" s="11">
        <v>20.32</v>
      </c>
      <c r="K27" s="12">
        <v>22.86</v>
      </c>
      <c r="L27" s="11">
        <v>1.998</v>
      </c>
      <c r="M27" s="9">
        <v>18</v>
      </c>
      <c r="N27" s="13"/>
    </row>
    <row r="28" spans="1:14" ht="20.100000000000001" customHeight="1" x14ac:dyDescent="0.2">
      <c r="B28" s="14">
        <v>20</v>
      </c>
      <c r="C28" s="15">
        <v>3.14</v>
      </c>
      <c r="D28" s="16">
        <v>6.28</v>
      </c>
      <c r="E28" s="16">
        <v>9.42</v>
      </c>
      <c r="F28" s="16">
        <v>12.56</v>
      </c>
      <c r="G28" s="16">
        <v>15.7</v>
      </c>
      <c r="H28" s="16">
        <v>18.84</v>
      </c>
      <c r="I28" s="16">
        <v>21.98</v>
      </c>
      <c r="J28" s="16">
        <v>25.12</v>
      </c>
      <c r="K28" s="17">
        <v>28.26</v>
      </c>
      <c r="L28" s="16">
        <v>2.4660000000000002</v>
      </c>
      <c r="M28" s="14">
        <v>20</v>
      </c>
      <c r="N28" s="13"/>
    </row>
    <row r="29" spans="1:14" ht="20.100000000000001" customHeight="1" x14ac:dyDescent="0.2">
      <c r="B29" s="9">
        <v>22</v>
      </c>
      <c r="C29" s="10">
        <v>3.8</v>
      </c>
      <c r="D29" s="11">
        <v>7.6</v>
      </c>
      <c r="E29" s="11">
        <v>11.4</v>
      </c>
      <c r="F29" s="11">
        <v>15.2</v>
      </c>
      <c r="G29" s="11">
        <v>19</v>
      </c>
      <c r="H29" s="11">
        <v>22.8</v>
      </c>
      <c r="I29" s="11">
        <v>26.6</v>
      </c>
      <c r="J29" s="11">
        <v>30.4</v>
      </c>
      <c r="K29" s="12">
        <v>34.200000000000003</v>
      </c>
      <c r="L29" s="11">
        <v>2.984</v>
      </c>
      <c r="M29" s="9">
        <v>22</v>
      </c>
      <c r="N29" s="13"/>
    </row>
    <row r="30" spans="1:14" ht="20.100000000000001" customHeight="1" x14ac:dyDescent="0.2">
      <c r="B30" s="14">
        <v>25</v>
      </c>
      <c r="C30" s="15">
        <v>4.91</v>
      </c>
      <c r="D30" s="16">
        <v>9.82</v>
      </c>
      <c r="E30" s="16">
        <v>14.73</v>
      </c>
      <c r="F30" s="16">
        <v>19.64</v>
      </c>
      <c r="G30" s="16">
        <v>24.55</v>
      </c>
      <c r="H30" s="16">
        <v>29.46</v>
      </c>
      <c r="I30" s="16">
        <v>34.369999999999997</v>
      </c>
      <c r="J30" s="16">
        <v>39.28</v>
      </c>
      <c r="K30" s="17">
        <v>44.19</v>
      </c>
      <c r="L30" s="16">
        <v>3.8530000000000002</v>
      </c>
      <c r="M30" s="14">
        <v>25</v>
      </c>
      <c r="N30" s="13"/>
    </row>
    <row r="31" spans="1:14" ht="20.100000000000001" customHeight="1" x14ac:dyDescent="0.2">
      <c r="B31" s="9">
        <v>28</v>
      </c>
      <c r="C31" s="10">
        <v>6.15</v>
      </c>
      <c r="D31" s="11">
        <v>12.31</v>
      </c>
      <c r="E31" s="11">
        <v>18.45</v>
      </c>
      <c r="F31" s="11">
        <v>24.6</v>
      </c>
      <c r="G31" s="11">
        <v>30.75</v>
      </c>
      <c r="H31" s="11">
        <v>36.9</v>
      </c>
      <c r="I31" s="11">
        <v>43.05</v>
      </c>
      <c r="J31" s="11">
        <v>49.2</v>
      </c>
      <c r="K31" s="12">
        <v>55.35</v>
      </c>
      <c r="L31" s="11">
        <v>4.843</v>
      </c>
      <c r="M31" s="9">
        <v>28</v>
      </c>
      <c r="N31" s="13"/>
    </row>
    <row r="32" spans="1:14" ht="20.100000000000001" customHeight="1" x14ac:dyDescent="0.2">
      <c r="B32" s="14">
        <v>30</v>
      </c>
      <c r="C32" s="15">
        <v>7.07</v>
      </c>
      <c r="D32" s="16">
        <v>14.14</v>
      </c>
      <c r="E32" s="16">
        <v>21.21</v>
      </c>
      <c r="F32" s="16">
        <v>28.28</v>
      </c>
      <c r="G32" s="16">
        <v>35.35</v>
      </c>
      <c r="H32" s="16">
        <v>42.42</v>
      </c>
      <c r="I32" s="16">
        <v>49.49</v>
      </c>
      <c r="J32" s="16">
        <v>56.56</v>
      </c>
      <c r="K32" s="17">
        <v>63.63</v>
      </c>
      <c r="L32" s="16">
        <v>5.5490000000000004</v>
      </c>
      <c r="M32" s="14">
        <v>30</v>
      </c>
      <c r="N32" s="13"/>
    </row>
    <row r="33" spans="1:14" ht="20.100000000000001" customHeight="1" x14ac:dyDescent="0.2">
      <c r="B33" s="9">
        <v>32</v>
      </c>
      <c r="C33" s="10">
        <v>8.0399999999999991</v>
      </c>
      <c r="D33" s="11">
        <v>16.079999999999998</v>
      </c>
      <c r="E33" s="11">
        <v>24.12</v>
      </c>
      <c r="F33" s="11">
        <v>32.159999999999997</v>
      </c>
      <c r="G33" s="11">
        <v>40.200000000000003</v>
      </c>
      <c r="H33" s="11">
        <v>48.24</v>
      </c>
      <c r="I33" s="11">
        <v>56.28</v>
      </c>
      <c r="J33" s="11">
        <v>64.319999999999993</v>
      </c>
      <c r="K33" s="12">
        <v>72.36</v>
      </c>
      <c r="L33" s="11">
        <v>6.3129999999999997</v>
      </c>
      <c r="M33" s="9">
        <v>32</v>
      </c>
      <c r="N33" s="13"/>
    </row>
    <row r="34" spans="1:14" ht="20.100000000000001" customHeight="1" x14ac:dyDescent="0.2">
      <c r="B34" s="14">
        <v>36</v>
      </c>
      <c r="C34" s="15">
        <v>10.18</v>
      </c>
      <c r="D34" s="16">
        <v>20.36</v>
      </c>
      <c r="E34" s="16">
        <v>30.54</v>
      </c>
      <c r="F34" s="16">
        <v>40.72</v>
      </c>
      <c r="G34" s="16">
        <v>50.9</v>
      </c>
      <c r="H34" s="16">
        <v>61.08</v>
      </c>
      <c r="I34" s="16">
        <v>71.260000000000005</v>
      </c>
      <c r="J34" s="16">
        <v>81.44</v>
      </c>
      <c r="K34" s="17">
        <v>91.62</v>
      </c>
      <c r="L34" s="16">
        <v>7.99</v>
      </c>
      <c r="M34" s="14">
        <v>36</v>
      </c>
      <c r="N34" s="13"/>
    </row>
    <row r="35" spans="1:14" ht="20.100000000000001" customHeight="1" x14ac:dyDescent="0.2">
      <c r="B35" s="9">
        <v>40</v>
      </c>
      <c r="C35" s="10">
        <v>12.56</v>
      </c>
      <c r="D35" s="11">
        <v>25.12</v>
      </c>
      <c r="E35" s="11">
        <v>37.68</v>
      </c>
      <c r="F35" s="11">
        <v>50.24</v>
      </c>
      <c r="G35" s="11">
        <v>62.8</v>
      </c>
      <c r="H35" s="11">
        <v>75.36</v>
      </c>
      <c r="I35" s="11">
        <v>87.92</v>
      </c>
      <c r="J35" s="11">
        <v>100.48</v>
      </c>
      <c r="K35" s="12">
        <v>113.04</v>
      </c>
      <c r="L35" s="11">
        <v>9.8699999999999992</v>
      </c>
      <c r="M35" s="9">
        <v>40</v>
      </c>
      <c r="N35" s="13"/>
    </row>
    <row r="38" spans="1:14" ht="20.100000000000001" customHeight="1" x14ac:dyDescent="0.2">
      <c r="A38" s="3" t="s">
        <v>47</v>
      </c>
    </row>
    <row r="40" spans="1:14" ht="20.100000000000001" customHeight="1" x14ac:dyDescent="0.2">
      <c r="B40" s="194" t="s">
        <v>48</v>
      </c>
      <c r="C40" s="193" t="s">
        <v>49</v>
      </c>
      <c r="D40" s="193"/>
      <c r="E40" s="193"/>
      <c r="F40" s="193"/>
      <c r="G40" s="193"/>
      <c r="H40" s="193"/>
      <c r="I40" s="193"/>
      <c r="J40" s="193"/>
      <c r="K40" s="193"/>
      <c r="L40" s="193"/>
      <c r="M40" s="194" t="s">
        <v>48</v>
      </c>
    </row>
    <row r="41" spans="1:14" ht="20.100000000000001" customHeight="1" x14ac:dyDescent="0.2">
      <c r="B41" s="195"/>
      <c r="C41" s="193"/>
      <c r="D41" s="193"/>
      <c r="E41" s="193"/>
      <c r="F41" s="193"/>
      <c r="G41" s="193"/>
      <c r="H41" s="193"/>
      <c r="I41" s="193"/>
      <c r="J41" s="193"/>
      <c r="K41" s="193"/>
      <c r="L41" s="193"/>
      <c r="M41" s="195"/>
    </row>
    <row r="42" spans="1:14" ht="20.100000000000001" customHeight="1" x14ac:dyDescent="0.2">
      <c r="B42" s="9" t="s">
        <v>50</v>
      </c>
      <c r="C42" s="9">
        <v>5</v>
      </c>
      <c r="D42" s="9">
        <v>6</v>
      </c>
      <c r="E42" s="18" t="s">
        <v>51</v>
      </c>
      <c r="F42" s="9">
        <v>8</v>
      </c>
      <c r="G42" s="18" t="s">
        <v>52</v>
      </c>
      <c r="H42" s="9">
        <v>10</v>
      </c>
      <c r="I42" s="18" t="s">
        <v>53</v>
      </c>
      <c r="J42" s="9">
        <v>12</v>
      </c>
      <c r="K42" s="18" t="s">
        <v>54</v>
      </c>
      <c r="L42" s="9">
        <v>14</v>
      </c>
      <c r="M42" s="9" t="s">
        <v>50</v>
      </c>
    </row>
    <row r="43" spans="1:14" ht="20.100000000000001" customHeight="1" x14ac:dyDescent="0.2">
      <c r="A43" s="1">
        <v>10</v>
      </c>
      <c r="B43" s="9">
        <v>7</v>
      </c>
      <c r="C43" s="7">
        <v>2.81</v>
      </c>
      <c r="D43" s="7">
        <v>4.0428571428571427</v>
      </c>
      <c r="E43" s="7">
        <v>5.6142857142857148</v>
      </c>
      <c r="F43" s="7">
        <v>7.1857142857142868</v>
      </c>
      <c r="G43" s="7">
        <v>9.1999999999999993</v>
      </c>
      <c r="H43" s="7">
        <v>11.214285714285715</v>
      </c>
      <c r="I43" s="7">
        <v>13.678571428571429</v>
      </c>
      <c r="J43" s="7">
        <v>16.142857142857142</v>
      </c>
      <c r="K43" s="7">
        <v>19.071428571428569</v>
      </c>
      <c r="L43" s="7">
        <v>22</v>
      </c>
      <c r="M43" s="9">
        <v>7</v>
      </c>
    </row>
    <row r="44" spans="1:14" ht="20.100000000000001" customHeight="1" x14ac:dyDescent="0.2">
      <c r="B44" s="14">
        <v>8</v>
      </c>
      <c r="C44" s="19">
        <v>2.4500000000000002</v>
      </c>
      <c r="D44" s="19">
        <v>3.5375000000000001</v>
      </c>
      <c r="E44" s="19">
        <v>4.9124999999999996</v>
      </c>
      <c r="F44" s="19">
        <v>6.2874999999999996</v>
      </c>
      <c r="G44" s="19">
        <v>8.0500000000000007</v>
      </c>
      <c r="H44" s="19">
        <v>9.8125</v>
      </c>
      <c r="I44" s="19">
        <v>11.96875</v>
      </c>
      <c r="J44" s="19">
        <v>14.125</v>
      </c>
      <c r="K44" s="19">
        <v>16.6875</v>
      </c>
      <c r="L44" s="19">
        <v>19.25</v>
      </c>
      <c r="M44" s="14">
        <v>8</v>
      </c>
    </row>
    <row r="45" spans="1:14" ht="20.100000000000001" customHeight="1" x14ac:dyDescent="0.2">
      <c r="B45" s="9">
        <v>9</v>
      </c>
      <c r="C45" s="7">
        <v>2.1800000000000002</v>
      </c>
      <c r="D45" s="7">
        <v>3.1444444444444448</v>
      </c>
      <c r="E45" s="7">
        <v>4.3666666666666671</v>
      </c>
      <c r="F45" s="7">
        <v>5.5888888888888886</v>
      </c>
      <c r="G45" s="7">
        <v>7.155555555555555</v>
      </c>
      <c r="H45" s="7">
        <v>8.7222222222222214</v>
      </c>
      <c r="I45" s="7">
        <v>10.638888888888889</v>
      </c>
      <c r="J45" s="7">
        <v>12.555555555555555</v>
      </c>
      <c r="K45" s="7">
        <v>14.833333333333336</v>
      </c>
      <c r="L45" s="7">
        <v>17.111111111111114</v>
      </c>
      <c r="M45" s="9">
        <v>9</v>
      </c>
    </row>
    <row r="46" spans="1:14" ht="20.100000000000001" customHeight="1" x14ac:dyDescent="0.2">
      <c r="B46" s="14">
        <v>10</v>
      </c>
      <c r="C46" s="19">
        <v>1.96</v>
      </c>
      <c r="D46" s="19">
        <v>2.83</v>
      </c>
      <c r="E46" s="19">
        <v>3.93</v>
      </c>
      <c r="F46" s="19">
        <v>5.03</v>
      </c>
      <c r="G46" s="19">
        <v>6.44</v>
      </c>
      <c r="H46" s="19">
        <v>7.85</v>
      </c>
      <c r="I46" s="19">
        <v>9.5749999999999993</v>
      </c>
      <c r="J46" s="19">
        <v>11.3</v>
      </c>
      <c r="K46" s="19">
        <v>13.35</v>
      </c>
      <c r="L46" s="19">
        <v>15.4</v>
      </c>
      <c r="M46" s="14">
        <v>10</v>
      </c>
    </row>
    <row r="47" spans="1:14" ht="20.100000000000001" customHeight="1" x14ac:dyDescent="0.2">
      <c r="B47" s="9">
        <v>11</v>
      </c>
      <c r="C47" s="7">
        <v>1.78</v>
      </c>
      <c r="D47" s="7">
        <v>2.5727272727272728</v>
      </c>
      <c r="E47" s="7">
        <v>3.5727272727272723</v>
      </c>
      <c r="F47" s="7">
        <v>4.5727272727272723</v>
      </c>
      <c r="G47" s="7">
        <v>5.8545454545454554</v>
      </c>
      <c r="H47" s="7">
        <v>7.1363636363636376</v>
      </c>
      <c r="I47" s="7">
        <v>8.704545454545455</v>
      </c>
      <c r="J47" s="7">
        <v>10.272727272727272</v>
      </c>
      <c r="K47" s="7">
        <v>12.136363636363637</v>
      </c>
      <c r="L47" s="7">
        <v>14</v>
      </c>
      <c r="M47" s="9">
        <v>11</v>
      </c>
    </row>
    <row r="48" spans="1:14" ht="20.100000000000001" customHeight="1" x14ac:dyDescent="0.2">
      <c r="B48" s="14">
        <v>12</v>
      </c>
      <c r="C48" s="19">
        <v>1.63</v>
      </c>
      <c r="D48" s="19">
        <v>2.3583333333333334</v>
      </c>
      <c r="E48" s="19">
        <v>3.2749999999999999</v>
      </c>
      <c r="F48" s="19">
        <v>4.1916666666666664</v>
      </c>
      <c r="G48" s="19">
        <v>5.3666666666666671</v>
      </c>
      <c r="H48" s="19">
        <v>6.541666666666667</v>
      </c>
      <c r="I48" s="19">
        <v>7.9791666666666661</v>
      </c>
      <c r="J48" s="19">
        <v>9.4166666666666661</v>
      </c>
      <c r="K48" s="19">
        <v>11.125</v>
      </c>
      <c r="L48" s="19">
        <v>12.833333333333334</v>
      </c>
      <c r="M48" s="14">
        <v>12</v>
      </c>
    </row>
    <row r="49" spans="1:13" ht="20.100000000000001" customHeight="1" x14ac:dyDescent="0.2">
      <c r="B49" s="9">
        <v>13</v>
      </c>
      <c r="C49" s="7">
        <v>1.51</v>
      </c>
      <c r="D49" s="7">
        <v>2.1769230769230767</v>
      </c>
      <c r="E49" s="7">
        <v>3.023076923076923</v>
      </c>
      <c r="F49" s="7">
        <v>3.8692307692307693</v>
      </c>
      <c r="G49" s="7">
        <v>4.953846153846154</v>
      </c>
      <c r="H49" s="7">
        <v>6.0384615384615392</v>
      </c>
      <c r="I49" s="7">
        <v>7.365384615384615</v>
      </c>
      <c r="J49" s="7">
        <v>8.6923076923076916</v>
      </c>
      <c r="K49" s="7">
        <v>10.26923076923077</v>
      </c>
      <c r="L49" s="7">
        <v>11.846153846153847</v>
      </c>
      <c r="M49" s="9">
        <v>13</v>
      </c>
    </row>
    <row r="50" spans="1:13" ht="20.100000000000001" customHeight="1" x14ac:dyDescent="0.2">
      <c r="B50" s="14">
        <v>14</v>
      </c>
      <c r="C50" s="19">
        <v>1.4</v>
      </c>
      <c r="D50" s="19">
        <v>2.0214285714285714</v>
      </c>
      <c r="E50" s="19">
        <v>2.8071428571428574</v>
      </c>
      <c r="F50" s="19">
        <v>3.5928571428571434</v>
      </c>
      <c r="G50" s="19">
        <v>4.5999999999999996</v>
      </c>
      <c r="H50" s="19">
        <v>5.6071428571428577</v>
      </c>
      <c r="I50" s="19">
        <v>6.8392857142857144</v>
      </c>
      <c r="J50" s="19">
        <v>8.0714285714285712</v>
      </c>
      <c r="K50" s="19">
        <v>9.5357142857142847</v>
      </c>
      <c r="L50" s="19">
        <v>11</v>
      </c>
      <c r="M50" s="14">
        <v>14</v>
      </c>
    </row>
    <row r="51" spans="1:13" ht="20.100000000000001" customHeight="1" x14ac:dyDescent="0.2">
      <c r="B51" s="9">
        <v>15</v>
      </c>
      <c r="C51" s="7">
        <v>1.31</v>
      </c>
      <c r="D51" s="7">
        <v>1.8866666666666667</v>
      </c>
      <c r="E51" s="7">
        <v>2.62</v>
      </c>
      <c r="F51" s="7">
        <v>3.3533333333333335</v>
      </c>
      <c r="G51" s="7">
        <v>4.293333333333333</v>
      </c>
      <c r="H51" s="7">
        <v>5.2333333333333334</v>
      </c>
      <c r="I51" s="7">
        <v>6.3833333333333329</v>
      </c>
      <c r="J51" s="7">
        <v>7.5333333333333332</v>
      </c>
      <c r="K51" s="7">
        <v>8.9</v>
      </c>
      <c r="L51" s="7">
        <v>10.266666666666666</v>
      </c>
      <c r="M51" s="9">
        <v>15</v>
      </c>
    </row>
    <row r="52" spans="1:13" ht="20.100000000000001" customHeight="1" x14ac:dyDescent="0.2">
      <c r="B52" s="14">
        <v>16</v>
      </c>
      <c r="C52" s="19">
        <v>1.23</v>
      </c>
      <c r="D52" s="19">
        <v>1.76875</v>
      </c>
      <c r="E52" s="19">
        <v>2.4562499999999998</v>
      </c>
      <c r="F52" s="19">
        <v>3.1437499999999998</v>
      </c>
      <c r="G52" s="19">
        <v>4.0250000000000004</v>
      </c>
      <c r="H52" s="19">
        <v>4.90625</v>
      </c>
      <c r="I52" s="19">
        <v>5.984375</v>
      </c>
      <c r="J52" s="19">
        <v>7.0625</v>
      </c>
      <c r="K52" s="19">
        <v>8.34375</v>
      </c>
      <c r="L52" s="19">
        <v>9.625</v>
      </c>
      <c r="M52" s="14">
        <v>16</v>
      </c>
    </row>
    <row r="53" spans="1:13" ht="20.100000000000001" customHeight="1" x14ac:dyDescent="0.2">
      <c r="B53" s="9">
        <v>17</v>
      </c>
      <c r="C53" s="7">
        <v>1.1499999999999999</v>
      </c>
      <c r="D53" s="7">
        <v>1.6647058823529413</v>
      </c>
      <c r="E53" s="7">
        <v>2.3117647058823532</v>
      </c>
      <c r="F53" s="7">
        <v>2.9588235294117649</v>
      </c>
      <c r="G53" s="7">
        <v>3.7882352941176474</v>
      </c>
      <c r="H53" s="7">
        <v>4.6176470588235299</v>
      </c>
      <c r="I53" s="7">
        <v>5.632352941176471</v>
      </c>
      <c r="J53" s="7">
        <v>6.6470588235294112</v>
      </c>
      <c r="K53" s="7">
        <v>7.8529411764705879</v>
      </c>
      <c r="L53" s="7">
        <v>9.0588235294117645</v>
      </c>
      <c r="M53" s="9">
        <v>17</v>
      </c>
    </row>
    <row r="54" spans="1:13" ht="20.100000000000001" customHeight="1" x14ac:dyDescent="0.2">
      <c r="B54" s="14">
        <v>18</v>
      </c>
      <c r="C54" s="19">
        <v>1.0900000000000001</v>
      </c>
      <c r="D54" s="19">
        <v>1.5722222222222224</v>
      </c>
      <c r="E54" s="19">
        <v>2.1833333333333336</v>
      </c>
      <c r="F54" s="19">
        <v>2.7944444444444443</v>
      </c>
      <c r="G54" s="19">
        <v>3.5777777777777775</v>
      </c>
      <c r="H54" s="19">
        <v>4.3611111111111107</v>
      </c>
      <c r="I54" s="19">
        <v>5.3194444444444446</v>
      </c>
      <c r="J54" s="19">
        <v>6.2777777777777777</v>
      </c>
      <c r="K54" s="19">
        <v>7.4166666666666679</v>
      </c>
      <c r="L54" s="19">
        <v>8.5555555555555571</v>
      </c>
      <c r="M54" s="14">
        <v>18</v>
      </c>
    </row>
    <row r="55" spans="1:13" ht="20.100000000000001" customHeight="1" x14ac:dyDescent="0.2">
      <c r="B55" s="9">
        <v>19</v>
      </c>
      <c r="C55" s="7">
        <v>1.03</v>
      </c>
      <c r="D55" s="7">
        <v>1.4894736842105263</v>
      </c>
      <c r="E55" s="7">
        <v>2.0684210526315789</v>
      </c>
      <c r="F55" s="7">
        <v>2.6473684210526316</v>
      </c>
      <c r="G55" s="7">
        <v>3.3894736842105262</v>
      </c>
      <c r="H55" s="7">
        <v>4.1315789473684212</v>
      </c>
      <c r="I55" s="7">
        <v>5.0394736842105257</v>
      </c>
      <c r="J55" s="7">
        <v>5.947368421052631</v>
      </c>
      <c r="K55" s="7">
        <v>7.0263157894736832</v>
      </c>
      <c r="L55" s="7">
        <v>8.1052631578947363</v>
      </c>
      <c r="M55" s="9">
        <v>19</v>
      </c>
    </row>
    <row r="56" spans="1:13" ht="20.100000000000001" customHeight="1" x14ac:dyDescent="0.2">
      <c r="B56" s="14">
        <v>20</v>
      </c>
      <c r="C56" s="19">
        <v>0.98</v>
      </c>
      <c r="D56" s="19">
        <v>1.415</v>
      </c>
      <c r="E56" s="19">
        <v>1.9650000000000001</v>
      </c>
      <c r="F56" s="19">
        <v>2.5150000000000001</v>
      </c>
      <c r="G56" s="19">
        <v>3.22</v>
      </c>
      <c r="H56" s="19">
        <v>3.9249999999999998</v>
      </c>
      <c r="I56" s="19">
        <v>4.7874999999999996</v>
      </c>
      <c r="J56" s="19">
        <v>5.65</v>
      </c>
      <c r="K56" s="19">
        <v>6.6749999999999998</v>
      </c>
      <c r="L56" s="19">
        <v>7.7</v>
      </c>
      <c r="M56" s="14">
        <v>20</v>
      </c>
    </row>
    <row r="59" spans="1:13" ht="20.100000000000001" customHeight="1" x14ac:dyDescent="0.3">
      <c r="A59" s="3" t="s">
        <v>66</v>
      </c>
    </row>
    <row r="61" spans="1:13" ht="20.100000000000001" customHeight="1" x14ac:dyDescent="0.2">
      <c r="B61" s="182" t="s">
        <v>55</v>
      </c>
      <c r="C61" s="198" t="s">
        <v>9</v>
      </c>
      <c r="D61" s="198" t="s">
        <v>10</v>
      </c>
      <c r="E61" s="198" t="s">
        <v>11</v>
      </c>
      <c r="F61" s="198" t="s">
        <v>12</v>
      </c>
      <c r="G61" s="198" t="s">
        <v>13</v>
      </c>
      <c r="H61" s="198" t="s">
        <v>14</v>
      </c>
      <c r="I61" s="198" t="s">
        <v>15</v>
      </c>
      <c r="J61" s="198" t="s">
        <v>16</v>
      </c>
      <c r="K61" s="198" t="s">
        <v>17</v>
      </c>
      <c r="L61" s="198" t="s">
        <v>18</v>
      </c>
      <c r="M61" s="198" t="s">
        <v>19</v>
      </c>
    </row>
    <row r="62" spans="1:13" ht="20.100000000000001" customHeight="1" x14ac:dyDescent="0.2">
      <c r="B62" s="198"/>
      <c r="C62" s="198"/>
      <c r="D62" s="198"/>
      <c r="E62" s="198"/>
      <c r="F62" s="198"/>
      <c r="G62" s="198"/>
      <c r="H62" s="198"/>
      <c r="I62" s="198"/>
      <c r="J62" s="198"/>
      <c r="K62" s="198"/>
      <c r="L62" s="198"/>
      <c r="M62" s="198"/>
    </row>
    <row r="63" spans="1:13" ht="20.100000000000001" customHeight="1" x14ac:dyDescent="0.2">
      <c r="B63" s="20" t="s">
        <v>67</v>
      </c>
      <c r="C63" s="7">
        <v>0.37</v>
      </c>
      <c r="D63" s="7">
        <v>0.37</v>
      </c>
      <c r="E63" s="7">
        <v>0.37</v>
      </c>
      <c r="F63" s="7">
        <v>0.37</v>
      </c>
      <c r="G63" s="7">
        <v>0.36</v>
      </c>
      <c r="H63" s="7">
        <v>0.35</v>
      </c>
      <c r="I63" s="7">
        <v>0.34</v>
      </c>
      <c r="J63" s="7">
        <v>0.33</v>
      </c>
      <c r="K63" s="7">
        <v>0.32</v>
      </c>
      <c r="L63" s="7">
        <v>0.31</v>
      </c>
      <c r="M63" s="7">
        <v>0.3</v>
      </c>
    </row>
    <row r="66" spans="1:12" ht="20.100000000000001" customHeight="1" x14ac:dyDescent="0.3">
      <c r="A66" s="3" t="s">
        <v>68</v>
      </c>
    </row>
    <row r="69" spans="1:12" ht="20.100000000000001" customHeight="1" x14ac:dyDescent="0.2">
      <c r="C69" s="21"/>
      <c r="D69" s="21" t="s">
        <v>56</v>
      </c>
      <c r="E69" s="21" t="s">
        <v>9</v>
      </c>
      <c r="F69" s="21" t="s">
        <v>10</v>
      </c>
      <c r="G69" s="21" t="s">
        <v>12</v>
      </c>
      <c r="H69" s="21" t="s">
        <v>13</v>
      </c>
      <c r="I69" s="21" t="s">
        <v>14</v>
      </c>
      <c r="J69" s="21" t="s">
        <v>15</v>
      </c>
      <c r="K69" s="21" t="s">
        <v>16</v>
      </c>
      <c r="L69" s="21" t="s">
        <v>17</v>
      </c>
    </row>
    <row r="70" spans="1:12" ht="20.100000000000001" customHeight="1" x14ac:dyDescent="0.2">
      <c r="B70" s="22" t="s">
        <v>69</v>
      </c>
      <c r="C70" s="21" t="s">
        <v>57</v>
      </c>
      <c r="D70" s="20">
        <v>0.79</v>
      </c>
      <c r="E70" s="20">
        <v>0.78200000000000003</v>
      </c>
      <c r="F70" s="20">
        <v>0.75800000000000001</v>
      </c>
      <c r="G70" s="20">
        <v>0.73399999999999999</v>
      </c>
      <c r="H70" s="20">
        <v>0.71399999999999997</v>
      </c>
      <c r="I70" s="20">
        <v>0.69399999999999995</v>
      </c>
      <c r="J70" s="20">
        <v>0.67400000000000004</v>
      </c>
      <c r="K70" s="20">
        <v>0.65</v>
      </c>
      <c r="L70" s="20">
        <v>0.63</v>
      </c>
    </row>
    <row r="71" spans="1:12" ht="20.100000000000001" customHeight="1" x14ac:dyDescent="0.2">
      <c r="A71" s="199" t="s">
        <v>70</v>
      </c>
      <c r="B71" s="23">
        <v>225</v>
      </c>
      <c r="C71" s="21" t="s">
        <v>32</v>
      </c>
      <c r="D71" s="20">
        <v>0.68200000000000005</v>
      </c>
      <c r="E71" s="20">
        <v>0.67200000000000004</v>
      </c>
      <c r="F71" s="20">
        <v>0.64500000000000002</v>
      </c>
      <c r="G71" s="20">
        <v>0.61799999999999999</v>
      </c>
      <c r="H71" s="20">
        <v>0.59599999999999997</v>
      </c>
      <c r="I71" s="20">
        <v>0.57399999999999995</v>
      </c>
      <c r="J71" s="20">
        <v>0.55300000000000005</v>
      </c>
      <c r="K71" s="20">
        <v>0.52800000000000002</v>
      </c>
      <c r="L71" s="20">
        <v>0.50800000000000001</v>
      </c>
    </row>
    <row r="72" spans="1:12" ht="20.100000000000001" customHeight="1" x14ac:dyDescent="0.2">
      <c r="A72" s="199"/>
      <c r="B72" s="23">
        <v>225</v>
      </c>
      <c r="C72" s="21" t="s">
        <v>36</v>
      </c>
      <c r="D72" s="20">
        <v>0.68200000000000005</v>
      </c>
      <c r="E72" s="20">
        <v>0.67200000000000004</v>
      </c>
      <c r="F72" s="20">
        <v>0.64500000000000002</v>
      </c>
      <c r="G72" s="20">
        <v>0.61799999999999999</v>
      </c>
      <c r="H72" s="20">
        <v>0.59599999999999997</v>
      </c>
      <c r="I72" s="20">
        <v>0.57399999999999995</v>
      </c>
      <c r="J72" s="20">
        <v>0.55300000000000005</v>
      </c>
      <c r="K72" s="20">
        <v>0.52800000000000002</v>
      </c>
      <c r="L72" s="20">
        <v>0.50800000000000001</v>
      </c>
    </row>
    <row r="73" spans="1:12" ht="20.100000000000001" customHeight="1" x14ac:dyDescent="0.2">
      <c r="A73" s="199"/>
      <c r="B73" s="23">
        <v>280</v>
      </c>
      <c r="C73" s="21" t="s">
        <v>33</v>
      </c>
      <c r="D73" s="20">
        <v>0.65900000000000003</v>
      </c>
      <c r="E73" s="20">
        <v>0.65</v>
      </c>
      <c r="F73" s="20">
        <v>0.622</v>
      </c>
      <c r="G73" s="20">
        <v>0.59499999999999997</v>
      </c>
      <c r="H73" s="20">
        <v>0.57299999999999995</v>
      </c>
      <c r="I73" s="20">
        <v>0.55100000000000005</v>
      </c>
      <c r="J73" s="20">
        <v>0.53</v>
      </c>
      <c r="K73" s="20">
        <v>0.505</v>
      </c>
      <c r="L73" s="20">
        <v>0.48499999999999999</v>
      </c>
    </row>
    <row r="74" spans="1:12" ht="20.100000000000001" customHeight="1" x14ac:dyDescent="0.2">
      <c r="A74" s="199"/>
      <c r="B74" s="23">
        <v>280</v>
      </c>
      <c r="C74" s="21" t="s">
        <v>37</v>
      </c>
      <c r="D74" s="20">
        <v>0.65900000000000003</v>
      </c>
      <c r="E74" s="20">
        <v>0.65</v>
      </c>
      <c r="F74" s="20">
        <v>0.622</v>
      </c>
      <c r="G74" s="20">
        <v>0.59499999999999997</v>
      </c>
      <c r="H74" s="20">
        <v>0.57299999999999995</v>
      </c>
      <c r="I74" s="20">
        <v>0.55100000000000005</v>
      </c>
      <c r="J74" s="20">
        <v>0.53</v>
      </c>
      <c r="K74" s="20">
        <v>0.505</v>
      </c>
      <c r="L74" s="20">
        <v>0.48499999999999999</v>
      </c>
    </row>
    <row r="75" spans="1:12" ht="20.100000000000001" customHeight="1" x14ac:dyDescent="0.2">
      <c r="A75" s="199"/>
      <c r="B75" s="23">
        <v>365</v>
      </c>
      <c r="C75" s="24" t="s">
        <v>34</v>
      </c>
      <c r="D75" s="20">
        <v>0.628</v>
      </c>
      <c r="E75" s="20">
        <v>0.61799999999999999</v>
      </c>
      <c r="F75" s="20">
        <v>0.59</v>
      </c>
      <c r="G75" s="20">
        <v>0.56299999999999994</v>
      </c>
      <c r="H75" s="20">
        <v>0.54</v>
      </c>
      <c r="I75" s="20">
        <v>0.51900000000000002</v>
      </c>
      <c r="J75" s="20">
        <v>0.498</v>
      </c>
      <c r="K75" s="20">
        <v>0.47299999999999998</v>
      </c>
      <c r="L75" s="20">
        <v>0.45300000000000001</v>
      </c>
    </row>
    <row r="76" spans="1:12" ht="20.100000000000001" customHeight="1" x14ac:dyDescent="0.2">
      <c r="A76" s="199"/>
      <c r="B76" s="23">
        <v>365</v>
      </c>
      <c r="C76" s="21" t="s">
        <v>38</v>
      </c>
      <c r="D76" s="20">
        <v>0.628</v>
      </c>
      <c r="E76" s="20">
        <v>0.61799999999999999</v>
      </c>
      <c r="F76" s="20">
        <v>0.59</v>
      </c>
      <c r="G76" s="20">
        <v>0.56299999999999994</v>
      </c>
      <c r="H76" s="20">
        <v>0.54</v>
      </c>
      <c r="I76" s="20">
        <v>0.51900000000000002</v>
      </c>
      <c r="J76" s="20">
        <v>0.498</v>
      </c>
      <c r="K76" s="20">
        <v>0.47299999999999998</v>
      </c>
      <c r="L76" s="20">
        <v>0.45300000000000001</v>
      </c>
    </row>
    <row r="77" spans="1:12" ht="20.100000000000001" customHeight="1" x14ac:dyDescent="0.2">
      <c r="A77" s="199"/>
      <c r="B77" s="23">
        <v>365</v>
      </c>
      <c r="C77" s="24" t="s">
        <v>41</v>
      </c>
      <c r="D77" s="20">
        <v>0.628</v>
      </c>
      <c r="E77" s="20">
        <v>0.61799999999999999</v>
      </c>
      <c r="F77" s="20">
        <v>0.59</v>
      </c>
      <c r="G77" s="20">
        <v>0.56299999999999994</v>
      </c>
      <c r="H77" s="20">
        <v>0.54</v>
      </c>
      <c r="I77" s="20">
        <v>0.51900000000000002</v>
      </c>
      <c r="J77" s="20">
        <v>0.498</v>
      </c>
      <c r="K77" s="20">
        <v>0.47299999999999998</v>
      </c>
      <c r="L77" s="20">
        <v>0.45300000000000001</v>
      </c>
    </row>
    <row r="78" spans="1:12" ht="20.100000000000001" customHeight="1" x14ac:dyDescent="0.2">
      <c r="A78" s="199"/>
      <c r="B78" s="23">
        <v>365</v>
      </c>
      <c r="C78" s="24" t="s">
        <v>42</v>
      </c>
      <c r="D78" s="20">
        <v>0.628</v>
      </c>
      <c r="E78" s="20">
        <v>0.61799999999999999</v>
      </c>
      <c r="F78" s="20">
        <v>0.59</v>
      </c>
      <c r="G78" s="20">
        <v>0.56299999999999994</v>
      </c>
      <c r="H78" s="20">
        <v>0.54</v>
      </c>
      <c r="I78" s="20">
        <v>0.51900000000000002</v>
      </c>
      <c r="J78" s="20">
        <v>0.498</v>
      </c>
      <c r="K78" s="20">
        <v>0.47299999999999998</v>
      </c>
      <c r="L78" s="20">
        <v>0.45300000000000001</v>
      </c>
    </row>
    <row r="79" spans="1:12" ht="20.100000000000001" customHeight="1" x14ac:dyDescent="0.2">
      <c r="A79" s="199"/>
      <c r="B79" s="23">
        <v>400</v>
      </c>
      <c r="C79" s="24" t="s">
        <v>43</v>
      </c>
      <c r="D79" s="20">
        <v>0.61599999999999999</v>
      </c>
      <c r="E79" s="20">
        <v>0.60599999999999998</v>
      </c>
      <c r="F79" s="20">
        <v>0.57799999999999996</v>
      </c>
      <c r="G79" s="20">
        <v>0.55000000000000004</v>
      </c>
      <c r="H79" s="20">
        <v>0.52800000000000002</v>
      </c>
      <c r="I79" s="20">
        <v>0.50700000000000001</v>
      </c>
      <c r="J79" s="20">
        <v>0.48499999999999999</v>
      </c>
      <c r="K79" s="20">
        <v>0.46100000000000002</v>
      </c>
      <c r="L79" s="20">
        <v>0.441</v>
      </c>
    </row>
    <row r="80" spans="1:12" ht="20.100000000000001" customHeight="1" x14ac:dyDescent="0.2">
      <c r="A80" s="199"/>
      <c r="B80" s="23">
        <v>400</v>
      </c>
      <c r="C80" s="24" t="s">
        <v>44</v>
      </c>
      <c r="D80" s="20">
        <v>0.61599999999999999</v>
      </c>
      <c r="E80" s="20">
        <v>0.60599999999999998</v>
      </c>
      <c r="F80" s="20">
        <v>0.57799999999999996</v>
      </c>
      <c r="G80" s="20">
        <v>0.55000000000000004</v>
      </c>
      <c r="H80" s="20">
        <v>0.52800000000000002</v>
      </c>
      <c r="I80" s="20">
        <v>0.50700000000000001</v>
      </c>
      <c r="J80" s="20">
        <v>0.48499999999999999</v>
      </c>
      <c r="K80" s="20">
        <v>0.46100000000000002</v>
      </c>
      <c r="L80" s="20">
        <v>0.441</v>
      </c>
    </row>
    <row r="81" spans="1:12" ht="20.100000000000001" customHeight="1" x14ac:dyDescent="0.2">
      <c r="A81" s="199"/>
      <c r="B81" s="23">
        <v>510</v>
      </c>
      <c r="C81" s="21" t="s">
        <v>35</v>
      </c>
      <c r="D81" s="20">
        <v>0.58099999999999996</v>
      </c>
      <c r="E81" s="20">
        <v>0.57099999999999995</v>
      </c>
      <c r="F81" s="20">
        <v>0.54200000000000004</v>
      </c>
      <c r="G81" s="20">
        <v>0.51500000000000001</v>
      </c>
      <c r="H81" s="20">
        <v>0.49299999999999999</v>
      </c>
      <c r="I81" s="20">
        <v>0.47199999999999998</v>
      </c>
      <c r="J81" s="20">
        <v>0.45100000000000001</v>
      </c>
      <c r="K81" s="20">
        <v>0.42699999999999999</v>
      </c>
      <c r="L81" s="20">
        <v>0.40699999999999997</v>
      </c>
    </row>
    <row r="82" spans="1:12" ht="20.100000000000001" customHeight="1" x14ac:dyDescent="0.2">
      <c r="A82" s="199"/>
      <c r="B82" s="23">
        <v>510</v>
      </c>
      <c r="C82" s="21" t="s">
        <v>39</v>
      </c>
      <c r="D82" s="20">
        <v>0.58099999999999996</v>
      </c>
      <c r="E82" s="20">
        <v>0.57099999999999995</v>
      </c>
      <c r="F82" s="20">
        <v>0.54200000000000004</v>
      </c>
      <c r="G82" s="20">
        <v>0.51500000000000001</v>
      </c>
      <c r="H82" s="20">
        <v>0.49299999999999999</v>
      </c>
      <c r="I82" s="20">
        <v>0.47199999999999998</v>
      </c>
      <c r="J82" s="20">
        <v>0.45100000000000001</v>
      </c>
      <c r="K82" s="20">
        <v>0.42699999999999999</v>
      </c>
      <c r="L82" s="20">
        <v>0.40699999999999997</v>
      </c>
    </row>
    <row r="85" spans="1:12" ht="20.100000000000001" customHeight="1" x14ac:dyDescent="0.2">
      <c r="B85" s="1" t="s">
        <v>75</v>
      </c>
      <c r="D85" s="1" t="s">
        <v>93</v>
      </c>
      <c r="E85" s="1" t="s">
        <v>94</v>
      </c>
      <c r="F85" s="1" t="s">
        <v>95</v>
      </c>
    </row>
    <row r="86" spans="1:12" ht="20.100000000000001" customHeight="1" x14ac:dyDescent="0.2">
      <c r="D86" s="1" t="s">
        <v>76</v>
      </c>
      <c r="E86" s="1">
        <v>20</v>
      </c>
      <c r="F86" s="1">
        <f>(3.46*E86^0.5+3.21)*1000</f>
        <v>18683.590404298546</v>
      </c>
    </row>
    <row r="87" spans="1:12" ht="20.100000000000001" customHeight="1" x14ac:dyDescent="0.2">
      <c r="D87" s="1" t="s">
        <v>77</v>
      </c>
      <c r="E87" s="1">
        <v>25</v>
      </c>
      <c r="F87" s="1">
        <f t="shared" ref="F87:F102" si="0">(3.46*E87^0.5+3.21)*1000</f>
        <v>20510</v>
      </c>
    </row>
    <row r="88" spans="1:12" ht="20.100000000000001" customHeight="1" x14ac:dyDescent="0.2">
      <c r="D88" s="1" t="s">
        <v>78</v>
      </c>
      <c r="E88" s="1">
        <v>30</v>
      </c>
      <c r="F88" s="1">
        <f t="shared" si="0"/>
        <v>22161.200489678748</v>
      </c>
    </row>
    <row r="89" spans="1:12" ht="20.100000000000001" customHeight="1" x14ac:dyDescent="0.2">
      <c r="D89" s="1" t="s">
        <v>79</v>
      </c>
      <c r="E89" s="1">
        <v>35</v>
      </c>
      <c r="F89" s="1">
        <f t="shared" si="0"/>
        <v>23679.63604952467</v>
      </c>
    </row>
    <row r="90" spans="1:12" ht="20.100000000000001" customHeight="1" x14ac:dyDescent="0.2">
      <c r="D90" s="1" t="s">
        <v>80</v>
      </c>
      <c r="E90" s="1">
        <v>40</v>
      </c>
      <c r="F90" s="1">
        <f t="shared" si="0"/>
        <v>25092.961408365187</v>
      </c>
    </row>
    <row r="91" spans="1:12" ht="20.100000000000001" customHeight="1" x14ac:dyDescent="0.2">
      <c r="D91" s="1" t="s">
        <v>81</v>
      </c>
      <c r="E91" s="1">
        <v>45</v>
      </c>
      <c r="F91" s="1">
        <f t="shared" si="0"/>
        <v>26420.38560644782</v>
      </c>
    </row>
    <row r="92" spans="1:12" ht="20.100000000000001" customHeight="1" x14ac:dyDescent="0.2">
      <c r="D92" s="1" t="s">
        <v>82</v>
      </c>
      <c r="E92" s="1">
        <v>50</v>
      </c>
      <c r="F92" s="1">
        <f t="shared" si="0"/>
        <v>27675.894629054546</v>
      </c>
    </row>
    <row r="93" spans="1:12" ht="20.100000000000001" customHeight="1" x14ac:dyDescent="0.2">
      <c r="D93" s="1" t="s">
        <v>83</v>
      </c>
      <c r="E93" s="1">
        <v>55</v>
      </c>
      <c r="F93" s="1">
        <f t="shared" si="0"/>
        <v>28870.046765350995</v>
      </c>
    </row>
    <row r="94" spans="1:12" ht="20.100000000000001" customHeight="1" x14ac:dyDescent="0.2">
      <c r="D94" s="1" t="s">
        <v>84</v>
      </c>
      <c r="E94" s="1">
        <v>60</v>
      </c>
      <c r="F94" s="1">
        <f t="shared" si="0"/>
        <v>30011.044755755323</v>
      </c>
    </row>
    <row r="95" spans="1:12" ht="20.100000000000001" customHeight="1" x14ac:dyDescent="0.2">
      <c r="D95" s="1" t="s">
        <v>85</v>
      </c>
      <c r="E95" s="1">
        <v>65</v>
      </c>
      <c r="F95" s="1">
        <f t="shared" si="0"/>
        <v>31105.411809112979</v>
      </c>
    </row>
    <row r="96" spans="1:12" ht="20.100000000000001" customHeight="1" x14ac:dyDescent="0.2">
      <c r="D96" s="1" t="s">
        <v>86</v>
      </c>
      <c r="E96" s="1">
        <v>70</v>
      </c>
      <c r="F96" s="1">
        <f t="shared" si="0"/>
        <v>32158.436918079013</v>
      </c>
    </row>
    <row r="97" spans="2:15" ht="20.100000000000001" customHeight="1" x14ac:dyDescent="0.2">
      <c r="D97" s="1" t="s">
        <v>87</v>
      </c>
      <c r="E97" s="1">
        <v>75</v>
      </c>
      <c r="F97" s="1">
        <f t="shared" si="0"/>
        <v>33174.478970941578</v>
      </c>
    </row>
    <row r="98" spans="2:15" ht="20.100000000000001" customHeight="1" x14ac:dyDescent="0.2">
      <c r="D98" s="1" t="s">
        <v>88</v>
      </c>
      <c r="E98" s="1">
        <v>80</v>
      </c>
      <c r="F98" s="1">
        <f t="shared" si="0"/>
        <v>34157.180808597092</v>
      </c>
    </row>
    <row r="99" spans="2:15" ht="20.100000000000001" customHeight="1" x14ac:dyDescent="0.2">
      <c r="D99" s="1" t="s">
        <v>89</v>
      </c>
      <c r="E99" s="1">
        <v>85</v>
      </c>
      <c r="F99" s="1">
        <f t="shared" si="0"/>
        <v>35109.623822233385</v>
      </c>
    </row>
    <row r="100" spans="2:15" ht="20.100000000000001" customHeight="1" x14ac:dyDescent="0.2">
      <c r="D100" s="1" t="s">
        <v>90</v>
      </c>
      <c r="E100" s="1">
        <v>90</v>
      </c>
      <c r="F100" s="1">
        <f t="shared" si="0"/>
        <v>36034.442112547782</v>
      </c>
    </row>
    <row r="101" spans="2:15" ht="20.100000000000001" customHeight="1" x14ac:dyDescent="0.2">
      <c r="D101" s="1" t="s">
        <v>91</v>
      </c>
      <c r="E101" s="1">
        <v>95</v>
      </c>
      <c r="F101" s="1">
        <f t="shared" si="0"/>
        <v>36933.908433039018</v>
      </c>
    </row>
    <row r="102" spans="2:15" ht="20.100000000000001" customHeight="1" x14ac:dyDescent="0.2">
      <c r="D102" s="1" t="s">
        <v>92</v>
      </c>
      <c r="E102" s="1">
        <v>100</v>
      </c>
      <c r="F102" s="1">
        <f t="shared" si="0"/>
        <v>37810</v>
      </c>
    </row>
    <row r="104" spans="2:15" ht="20.100000000000001" customHeight="1" x14ac:dyDescent="0.3">
      <c r="B104" s="1" t="s">
        <v>96</v>
      </c>
      <c r="D104" s="200" t="s">
        <v>97</v>
      </c>
      <c r="E104" s="25" t="s">
        <v>93</v>
      </c>
      <c r="F104" s="25" t="s">
        <v>107</v>
      </c>
      <c r="G104" s="25" t="s">
        <v>108</v>
      </c>
      <c r="H104" s="26" t="s">
        <v>109</v>
      </c>
      <c r="K104" s="135" t="s">
        <v>236</v>
      </c>
      <c r="L104" s="136"/>
    </row>
    <row r="105" spans="2:15" ht="20.100000000000001" customHeight="1" x14ac:dyDescent="0.3">
      <c r="D105" s="200"/>
      <c r="E105" s="27" t="s">
        <v>98</v>
      </c>
      <c r="F105" s="25">
        <v>16</v>
      </c>
      <c r="G105" s="25">
        <v>1.9</v>
      </c>
      <c r="H105" s="26">
        <v>3.5000000000000001E-3</v>
      </c>
      <c r="K105" s="137"/>
      <c r="L105" s="138" t="s">
        <v>237</v>
      </c>
      <c r="N105" s="1" t="s">
        <v>282</v>
      </c>
      <c r="O105" s="1" t="s">
        <v>283</v>
      </c>
    </row>
    <row r="106" spans="2:15" ht="20.100000000000001" customHeight="1" x14ac:dyDescent="0.2">
      <c r="D106" s="200"/>
      <c r="E106" s="27" t="s">
        <v>99</v>
      </c>
      <c r="F106" s="25">
        <v>20</v>
      </c>
      <c r="G106" s="25">
        <v>2.2000000000000002</v>
      </c>
      <c r="H106" s="26">
        <v>3.5000000000000001E-3</v>
      </c>
      <c r="K106" s="139" t="s">
        <v>238</v>
      </c>
      <c r="L106" s="138" t="s">
        <v>240</v>
      </c>
      <c r="N106" s="1">
        <v>100</v>
      </c>
      <c r="O106" s="1">
        <v>1</v>
      </c>
    </row>
    <row r="107" spans="2:15" ht="20.100000000000001" customHeight="1" x14ac:dyDescent="0.2">
      <c r="D107" s="200"/>
      <c r="E107" s="27" t="s">
        <v>100</v>
      </c>
      <c r="F107" s="25">
        <v>25</v>
      </c>
      <c r="G107" s="25">
        <v>2.6</v>
      </c>
      <c r="H107" s="26">
        <v>3.5000000000000001E-3</v>
      </c>
      <c r="K107" s="139" t="s">
        <v>239</v>
      </c>
      <c r="L107" s="138" t="s">
        <v>243</v>
      </c>
      <c r="N107" s="1">
        <v>200</v>
      </c>
      <c r="O107" s="1">
        <v>0.85</v>
      </c>
    </row>
    <row r="108" spans="2:15" ht="20.100000000000001" customHeight="1" x14ac:dyDescent="0.2">
      <c r="D108" s="200"/>
      <c r="E108" s="27" t="s">
        <v>101</v>
      </c>
      <c r="F108" s="25">
        <v>30</v>
      </c>
      <c r="G108" s="25">
        <v>2.9</v>
      </c>
      <c r="H108" s="26">
        <v>3.5000000000000001E-3</v>
      </c>
      <c r="K108" s="139" t="s">
        <v>241</v>
      </c>
      <c r="L108" s="138" t="s">
        <v>240</v>
      </c>
      <c r="N108" s="1">
        <v>300</v>
      </c>
      <c r="O108" s="1">
        <v>0.75</v>
      </c>
    </row>
    <row r="109" spans="2:15" ht="20.100000000000001" customHeight="1" x14ac:dyDescent="0.2">
      <c r="D109" s="200"/>
      <c r="E109" s="27" t="s">
        <v>102</v>
      </c>
      <c r="F109" s="25">
        <v>35</v>
      </c>
      <c r="G109" s="25">
        <v>3.2</v>
      </c>
      <c r="H109" s="26">
        <v>3.5000000000000001E-3</v>
      </c>
      <c r="K109" s="139" t="s">
        <v>242</v>
      </c>
      <c r="L109" s="138" t="s">
        <v>243</v>
      </c>
      <c r="N109" s="1">
        <v>500</v>
      </c>
      <c r="O109" s="1">
        <v>0.7</v>
      </c>
    </row>
    <row r="110" spans="2:15" ht="20.100000000000001" customHeight="1" x14ac:dyDescent="0.2">
      <c r="D110" s="200"/>
      <c r="E110" s="27" t="s">
        <v>103</v>
      </c>
      <c r="F110" s="25">
        <v>40</v>
      </c>
      <c r="G110" s="25">
        <v>3.5</v>
      </c>
      <c r="H110" s="26">
        <v>3.5000000000000001E-3</v>
      </c>
      <c r="K110" s="139" t="s">
        <v>244</v>
      </c>
      <c r="L110" s="138" t="s">
        <v>240</v>
      </c>
      <c r="N110" s="1">
        <v>10000</v>
      </c>
      <c r="O110" s="1">
        <v>0.7</v>
      </c>
    </row>
    <row r="111" spans="2:15" ht="20.100000000000001" customHeight="1" x14ac:dyDescent="0.2">
      <c r="D111" s="200"/>
      <c r="E111" s="27" t="s">
        <v>104</v>
      </c>
      <c r="F111" s="25">
        <v>45</v>
      </c>
      <c r="G111" s="25">
        <v>3.8</v>
      </c>
      <c r="H111" s="26">
        <v>3.5000000000000001E-3</v>
      </c>
      <c r="K111" s="139" t="s">
        <v>245</v>
      </c>
      <c r="L111" s="138" t="s">
        <v>243</v>
      </c>
    </row>
    <row r="112" spans="2:15" ht="20.100000000000001" customHeight="1" x14ac:dyDescent="0.2">
      <c r="D112" s="200"/>
      <c r="E112" s="27" t="s">
        <v>105</v>
      </c>
      <c r="F112" s="25">
        <v>50</v>
      </c>
      <c r="G112" s="25">
        <v>4.0999999999999996</v>
      </c>
      <c r="H112" s="26">
        <v>3.5000000000000001E-3</v>
      </c>
    </row>
    <row r="113" spans="2:21" ht="20.100000000000001" customHeight="1" x14ac:dyDescent="0.2">
      <c r="D113" s="200"/>
      <c r="E113" s="27" t="s">
        <v>106</v>
      </c>
      <c r="F113" s="25">
        <v>55</v>
      </c>
      <c r="G113" s="25">
        <v>4.2</v>
      </c>
      <c r="H113" s="26">
        <v>3.0999999999999999E-3</v>
      </c>
    </row>
    <row r="114" spans="2:21" ht="20.100000000000001" customHeight="1" x14ac:dyDescent="0.2">
      <c r="D114" s="200"/>
      <c r="E114" s="27" t="s">
        <v>298</v>
      </c>
      <c r="F114" s="25">
        <v>60</v>
      </c>
      <c r="G114" s="25">
        <v>4.4000000000000004</v>
      </c>
      <c r="H114" s="26">
        <v>2.8999999999999998E-3</v>
      </c>
    </row>
    <row r="115" spans="2:21" ht="20.100000000000001" customHeight="1" x14ac:dyDescent="0.2">
      <c r="D115" s="200"/>
      <c r="E115" s="27" t="s">
        <v>299</v>
      </c>
      <c r="F115" s="25">
        <v>70</v>
      </c>
      <c r="G115" s="25">
        <v>4.5999999999999996</v>
      </c>
      <c r="H115" s="26">
        <v>2.7000000000000001E-3</v>
      </c>
    </row>
    <row r="116" spans="2:21" ht="20.100000000000001" customHeight="1" x14ac:dyDescent="0.2">
      <c r="D116" s="200"/>
      <c r="E116" s="27" t="s">
        <v>300</v>
      </c>
      <c r="F116" s="25">
        <v>80</v>
      </c>
      <c r="G116" s="25">
        <v>4.8</v>
      </c>
      <c r="H116" s="26">
        <v>2.5999999999999999E-3</v>
      </c>
    </row>
    <row r="117" spans="2:21" ht="20.100000000000001" customHeight="1" x14ac:dyDescent="0.2">
      <c r="D117" s="200"/>
      <c r="E117" s="27" t="s">
        <v>301</v>
      </c>
      <c r="F117" s="25">
        <v>90</v>
      </c>
      <c r="G117" s="25">
        <v>5</v>
      </c>
      <c r="H117" s="26">
        <v>2.5999999999999999E-3</v>
      </c>
    </row>
    <row r="119" spans="2:21" ht="20.100000000000001" customHeight="1" thickBot="1" x14ac:dyDescent="0.3">
      <c r="B119" s="30" t="s">
        <v>120</v>
      </c>
      <c r="C119" s="30"/>
      <c r="D119" s="31" t="s">
        <v>121</v>
      </c>
      <c r="E119" s="32" t="s">
        <v>122</v>
      </c>
      <c r="F119" s="31" t="s">
        <v>123</v>
      </c>
      <c r="G119" s="196" t="s">
        <v>124</v>
      </c>
      <c r="H119" s="197"/>
      <c r="I119" s="32" t="s">
        <v>125</v>
      </c>
      <c r="J119" s="32" t="s">
        <v>126</v>
      </c>
      <c r="K119" s="32" t="s">
        <v>127</v>
      </c>
      <c r="L119" s="33" t="s">
        <v>128</v>
      </c>
      <c r="M119" s="32" t="s">
        <v>129</v>
      </c>
      <c r="N119" s="32" t="s">
        <v>130</v>
      </c>
      <c r="O119" s="32" t="s">
        <v>131</v>
      </c>
      <c r="P119" s="32" t="s">
        <v>132</v>
      </c>
      <c r="Q119" s="32" t="s">
        <v>133</v>
      </c>
      <c r="R119" s="32" t="s">
        <v>134</v>
      </c>
      <c r="S119" s="29"/>
      <c r="T119" s="32" t="s">
        <v>127</v>
      </c>
      <c r="U119" s="33" t="s">
        <v>128</v>
      </c>
    </row>
    <row r="120" spans="2:21" ht="20.100000000000001" customHeight="1" thickTop="1" thickBot="1" x14ac:dyDescent="0.3">
      <c r="B120" s="34">
        <f>(E120/1000-I120*J120)*1.15</f>
        <v>0.13540614497157488</v>
      </c>
      <c r="C120" s="30"/>
      <c r="D120" s="35" t="str">
        <f t="shared" ref="D120:D132" si="1">CONCATENATE("BD",E120)</f>
        <v>BD175</v>
      </c>
      <c r="E120" s="36">
        <v>175</v>
      </c>
      <c r="F120" s="37">
        <v>150</v>
      </c>
      <c r="G120" s="36">
        <v>135</v>
      </c>
      <c r="H120" s="37">
        <v>135</v>
      </c>
      <c r="I120" s="38">
        <f>(1000/F120)^2</f>
        <v>44.44444444444445</v>
      </c>
      <c r="J120" s="39">
        <f>4/3*PI()*(G120/2000)*(H120/2000)^2</f>
        <v>1.2882493375126647E-3</v>
      </c>
      <c r="K120" s="40">
        <f>2.5*(E120/1000-J120*I120)*1000</f>
        <v>294.36118472081495</v>
      </c>
      <c r="L120" s="41">
        <f t="shared" ref="L120:L132" si="2">K120/(E120/10)*1.05</f>
        <v>17.661671083248898</v>
      </c>
      <c r="M120" s="42">
        <v>75</v>
      </c>
      <c r="N120" s="43" t="s">
        <v>135</v>
      </c>
      <c r="O120" s="43" t="s">
        <v>136</v>
      </c>
      <c r="P120" s="44" t="s">
        <v>137</v>
      </c>
      <c r="Q120" s="45" t="s">
        <v>138</v>
      </c>
      <c r="R120" s="44" t="s">
        <v>139</v>
      </c>
      <c r="S120" s="29"/>
      <c r="T120" s="40">
        <f>2.45*(E120/1000-J120*I120)*1000</f>
        <v>288.47396102639868</v>
      </c>
      <c r="U120" s="41">
        <f t="shared" ref="U120:U132" si="3">T120/(E120/10)*1.05</f>
        <v>17.30843766158392</v>
      </c>
    </row>
    <row r="121" spans="2:21" ht="20.100000000000001" customHeight="1" thickTop="1" thickBot="1" x14ac:dyDescent="0.3">
      <c r="B121" s="34">
        <f>(E121/1000-I121*J121)*1.15</f>
        <v>0.14115614497157489</v>
      </c>
      <c r="C121" s="30"/>
      <c r="D121" s="35" t="str">
        <f t="shared" si="1"/>
        <v>BD180</v>
      </c>
      <c r="E121" s="36">
        <v>180</v>
      </c>
      <c r="F121" s="37">
        <v>150</v>
      </c>
      <c r="G121" s="36">
        <v>135</v>
      </c>
      <c r="H121" s="37">
        <v>135</v>
      </c>
      <c r="I121" s="38">
        <f>(1000/F121)^2</f>
        <v>44.44444444444445</v>
      </c>
      <c r="J121" s="39">
        <f>4/3*PI()*(G121/2000)*(H121/2000)^2</f>
        <v>1.2882493375126647E-3</v>
      </c>
      <c r="K121" s="40">
        <f>2.5*(E121/1000-J121*I121)*1000</f>
        <v>306.86118472081495</v>
      </c>
      <c r="L121" s="41">
        <f>K121/(E121/10)*1.05</f>
        <v>17.900235775380875</v>
      </c>
      <c r="M121" s="42">
        <v>75</v>
      </c>
      <c r="N121" s="43" t="s">
        <v>135</v>
      </c>
      <c r="O121" s="43" t="s">
        <v>136</v>
      </c>
      <c r="P121" s="44" t="s">
        <v>137</v>
      </c>
      <c r="Q121" s="45" t="s">
        <v>138</v>
      </c>
      <c r="R121" s="44" t="s">
        <v>139</v>
      </c>
      <c r="S121" s="29"/>
      <c r="T121" s="40">
        <f>2.4*(E121/1000-J121*I121)*1000</f>
        <v>294.58673733198236</v>
      </c>
      <c r="U121" s="41">
        <f>T121/(E121/10)*1.05</f>
        <v>17.184226344365637</v>
      </c>
    </row>
    <row r="122" spans="2:21" ht="20.100000000000001" customHeight="1" thickTop="1" thickBot="1" x14ac:dyDescent="0.3">
      <c r="B122" s="34">
        <f>(E122/1000-I122*J122)*1.15</f>
        <v>0.17670819329543325</v>
      </c>
      <c r="C122" s="30"/>
      <c r="D122" s="35" t="str">
        <f t="shared" si="1"/>
        <v>BD230</v>
      </c>
      <c r="E122" s="36">
        <v>230</v>
      </c>
      <c r="F122" s="37">
        <v>200</v>
      </c>
      <c r="G122" s="36">
        <v>180</v>
      </c>
      <c r="H122" s="37">
        <v>180</v>
      </c>
      <c r="I122" s="38">
        <f t="shared" ref="I122:I132" si="4">(1000/F122)^2</f>
        <v>25</v>
      </c>
      <c r="J122" s="39">
        <f t="shared" ref="J122:J132" si="5">4/3*PI()*(G122/2000)*(H122/2000)^2</f>
        <v>3.0536280592892784E-3</v>
      </c>
      <c r="K122" s="40">
        <f t="shared" ref="K122:K132" si="6">2.5*(E122/1000-J122*I122)*1000</f>
        <v>384.14824629442012</v>
      </c>
      <c r="L122" s="41">
        <f t="shared" si="2"/>
        <v>17.537202548223526</v>
      </c>
      <c r="M122" s="42">
        <v>100</v>
      </c>
      <c r="N122" s="43" t="s">
        <v>140</v>
      </c>
      <c r="O122" s="43" t="s">
        <v>141</v>
      </c>
      <c r="P122" s="44" t="s">
        <v>142</v>
      </c>
      <c r="Q122" s="45" t="s">
        <v>138</v>
      </c>
      <c r="R122" s="44" t="s">
        <v>143</v>
      </c>
      <c r="S122" s="29">
        <f>30*E122</f>
        <v>6900</v>
      </c>
      <c r="T122" s="40">
        <f t="shared" ref="T122:T132" si="7">2.4*(E122/1000-J122*I122)*1000</f>
        <v>368.78231644264332</v>
      </c>
      <c r="U122" s="41">
        <f t="shared" si="3"/>
        <v>16.835714446294585</v>
      </c>
    </row>
    <row r="123" spans="2:21" ht="20.100000000000001" customHeight="1" thickTop="1" thickBot="1" x14ac:dyDescent="0.3">
      <c r="B123" s="34">
        <f t="shared" ref="B123:B132" si="8">(E123/1000-I123*J123)*1.15</f>
        <v>0.18245819329543322</v>
      </c>
      <c r="C123" s="30"/>
      <c r="D123" s="35" t="str">
        <f t="shared" si="1"/>
        <v>BD235</v>
      </c>
      <c r="E123" s="36">
        <v>235</v>
      </c>
      <c r="F123" s="37">
        <v>200</v>
      </c>
      <c r="G123" s="36">
        <v>180</v>
      </c>
      <c r="H123" s="37">
        <v>180</v>
      </c>
      <c r="I123" s="38">
        <f>(1000/F123)^2</f>
        <v>25</v>
      </c>
      <c r="J123" s="39">
        <f>4/3*PI()*(G123/2000)*(H123/2000)^2</f>
        <v>3.0536280592892784E-3</v>
      </c>
      <c r="K123" s="40">
        <f>2.5*(E123/1000-J123*I123)*1000</f>
        <v>396.64824629442006</v>
      </c>
      <c r="L123" s="41">
        <f t="shared" si="2"/>
        <v>17.722581217410259</v>
      </c>
      <c r="M123" s="42">
        <v>100</v>
      </c>
      <c r="N123" s="43" t="s">
        <v>140</v>
      </c>
      <c r="O123" s="43" t="s">
        <v>141</v>
      </c>
      <c r="P123" s="44" t="s">
        <v>142</v>
      </c>
      <c r="Q123" s="45" t="s">
        <v>138</v>
      </c>
      <c r="R123" s="44" t="s">
        <v>143</v>
      </c>
      <c r="S123" s="29"/>
      <c r="T123" s="40">
        <f t="shared" si="7"/>
        <v>380.78231644264326</v>
      </c>
      <c r="U123" s="41">
        <f t="shared" si="3"/>
        <v>17.01367796871385</v>
      </c>
    </row>
    <row r="124" spans="2:21" ht="20.100000000000001" customHeight="1" thickTop="1" thickBot="1" x14ac:dyDescent="0.3">
      <c r="B124" s="34">
        <f t="shared" si="8"/>
        <v>0.21226024161929155</v>
      </c>
      <c r="C124" s="30"/>
      <c r="D124" s="46" t="str">
        <f t="shared" si="1"/>
        <v>BD280</v>
      </c>
      <c r="E124" s="47">
        <v>280</v>
      </c>
      <c r="F124" s="48">
        <v>250</v>
      </c>
      <c r="G124" s="47">
        <v>225</v>
      </c>
      <c r="H124" s="48">
        <v>225</v>
      </c>
      <c r="I124" s="49">
        <f t="shared" si="4"/>
        <v>16</v>
      </c>
      <c r="J124" s="50">
        <f t="shared" si="5"/>
        <v>5.9641173032993731E-3</v>
      </c>
      <c r="K124" s="51">
        <f t="shared" si="6"/>
        <v>461.43530786802512</v>
      </c>
      <c r="L124" s="52">
        <f t="shared" si="2"/>
        <v>17.303824045050941</v>
      </c>
      <c r="M124" s="53">
        <v>125</v>
      </c>
      <c r="N124" s="54" t="s">
        <v>144</v>
      </c>
      <c r="O124" s="54" t="s">
        <v>145</v>
      </c>
      <c r="P124" s="55" t="s">
        <v>146</v>
      </c>
      <c r="Q124" s="55" t="s">
        <v>147</v>
      </c>
      <c r="R124" s="55" t="s">
        <v>148</v>
      </c>
      <c r="S124" s="29">
        <f t="shared" ref="S124:S132" si="9">30*E124</f>
        <v>8400</v>
      </c>
      <c r="T124" s="40">
        <f t="shared" si="7"/>
        <v>442.97789555330411</v>
      </c>
      <c r="U124" s="41">
        <f t="shared" si="3"/>
        <v>16.611671083248904</v>
      </c>
    </row>
    <row r="125" spans="2:21" ht="20.100000000000001" customHeight="1" thickTop="1" thickBot="1" x14ac:dyDescent="0.3">
      <c r="B125" s="34">
        <f t="shared" si="8"/>
        <v>0.2180102416192915</v>
      </c>
      <c r="C125" s="30"/>
      <c r="D125" s="46" t="str">
        <f t="shared" si="1"/>
        <v>BD285</v>
      </c>
      <c r="E125" s="47">
        <v>285</v>
      </c>
      <c r="F125" s="48">
        <v>250</v>
      </c>
      <c r="G125" s="47">
        <v>225</v>
      </c>
      <c r="H125" s="48">
        <v>225</v>
      </c>
      <c r="I125" s="49">
        <f>(1000/F125)^2</f>
        <v>16</v>
      </c>
      <c r="J125" s="50">
        <f>4/3*PI()*(G125/2000)*(H125/2000)^2</f>
        <v>5.9641173032993731E-3</v>
      </c>
      <c r="K125" s="51">
        <f>2.5*(E125/1000-J125*I125)*1000</f>
        <v>473.93530786802501</v>
      </c>
      <c r="L125" s="52">
        <f t="shared" si="2"/>
        <v>17.460774500400923</v>
      </c>
      <c r="M125" s="53">
        <v>125</v>
      </c>
      <c r="N125" s="54" t="s">
        <v>144</v>
      </c>
      <c r="O125" s="54" t="s">
        <v>145</v>
      </c>
      <c r="P125" s="55" t="s">
        <v>146</v>
      </c>
      <c r="Q125" s="55" t="s">
        <v>147</v>
      </c>
      <c r="R125" s="55" t="s">
        <v>148</v>
      </c>
      <c r="S125" s="29"/>
      <c r="T125" s="40">
        <f t="shared" si="7"/>
        <v>454.97789555330399</v>
      </c>
      <c r="U125" s="41">
        <f t="shared" si="3"/>
        <v>16.762343520384885</v>
      </c>
    </row>
    <row r="126" spans="2:21" ht="20.100000000000001" customHeight="1" thickTop="1" thickBot="1" x14ac:dyDescent="0.3">
      <c r="B126" s="34">
        <f t="shared" si="8"/>
        <v>0.25931228994314981</v>
      </c>
      <c r="C126" s="30"/>
      <c r="D126" s="35" t="str">
        <f t="shared" si="1"/>
        <v>BD340</v>
      </c>
      <c r="E126" s="36">
        <v>340</v>
      </c>
      <c r="F126" s="37">
        <v>300</v>
      </c>
      <c r="G126" s="36">
        <v>270</v>
      </c>
      <c r="H126" s="37">
        <v>270</v>
      </c>
      <c r="I126" s="38">
        <f t="shared" si="4"/>
        <v>11.111111111111112</v>
      </c>
      <c r="J126" s="39">
        <f t="shared" si="5"/>
        <v>1.0305994700101318E-2</v>
      </c>
      <c r="K126" s="40">
        <f t="shared" si="6"/>
        <v>563.72236944163001</v>
      </c>
      <c r="L126" s="41">
        <f t="shared" si="2"/>
        <v>17.40907317393269</v>
      </c>
      <c r="M126" s="42">
        <v>150</v>
      </c>
      <c r="N126" s="43" t="s">
        <v>149</v>
      </c>
      <c r="O126" s="43" t="s">
        <v>150</v>
      </c>
      <c r="P126" s="44" t="s">
        <v>151</v>
      </c>
      <c r="Q126" s="44" t="s">
        <v>152</v>
      </c>
      <c r="R126" s="44" t="s">
        <v>153</v>
      </c>
      <c r="S126" s="29">
        <f t="shared" si="9"/>
        <v>10200</v>
      </c>
      <c r="T126" s="40">
        <f t="shared" si="7"/>
        <v>541.17347466396484</v>
      </c>
      <c r="U126" s="41">
        <f t="shared" si="3"/>
        <v>16.712710246975384</v>
      </c>
    </row>
    <row r="127" spans="2:21" ht="20.100000000000001" customHeight="1" thickTop="1" thickBot="1" x14ac:dyDescent="0.3">
      <c r="B127" s="34">
        <f t="shared" si="8"/>
        <v>0.27081228994314976</v>
      </c>
      <c r="C127" s="30"/>
      <c r="D127" s="35" t="str">
        <f t="shared" si="1"/>
        <v>BD350</v>
      </c>
      <c r="E127" s="36">
        <v>350</v>
      </c>
      <c r="F127" s="37">
        <v>300</v>
      </c>
      <c r="G127" s="36">
        <v>270</v>
      </c>
      <c r="H127" s="37">
        <v>270</v>
      </c>
      <c r="I127" s="38">
        <f>(1000/F127)^2</f>
        <v>11.111111111111112</v>
      </c>
      <c r="J127" s="39">
        <f>4/3*PI()*(G127/2000)*(H127/2000)^2</f>
        <v>1.0305994700101318E-2</v>
      </c>
      <c r="K127" s="40">
        <f>2.5*(E127/1000-J127*I127)*1000</f>
        <v>588.72236944162989</v>
      </c>
      <c r="L127" s="41">
        <f t="shared" si="2"/>
        <v>17.661671083248898</v>
      </c>
      <c r="M127" s="42">
        <v>150</v>
      </c>
      <c r="N127" s="43" t="s">
        <v>149</v>
      </c>
      <c r="O127" s="43" t="s">
        <v>150</v>
      </c>
      <c r="P127" s="44" t="s">
        <v>151</v>
      </c>
      <c r="Q127" s="44" t="s">
        <v>152</v>
      </c>
      <c r="R127" s="44" t="s">
        <v>153</v>
      </c>
      <c r="S127" s="29"/>
      <c r="T127" s="40">
        <f t="shared" si="7"/>
        <v>565.17347466396473</v>
      </c>
      <c r="U127" s="41">
        <f t="shared" si="3"/>
        <v>16.955204239918945</v>
      </c>
    </row>
    <row r="128" spans="2:21" ht="20.100000000000001" customHeight="1" thickTop="1" thickBot="1" x14ac:dyDescent="0.3">
      <c r="B128" s="34">
        <f t="shared" si="8"/>
        <v>0.29486433826700814</v>
      </c>
      <c r="C128" s="30"/>
      <c r="D128" s="46" t="str">
        <f t="shared" si="1"/>
        <v>BD390</v>
      </c>
      <c r="E128" s="47">
        <v>390</v>
      </c>
      <c r="F128" s="48">
        <v>350</v>
      </c>
      <c r="G128" s="47">
        <v>315</v>
      </c>
      <c r="H128" s="48">
        <v>315</v>
      </c>
      <c r="I128" s="49">
        <f t="shared" si="4"/>
        <v>8.1632653061224492</v>
      </c>
      <c r="J128" s="50">
        <f t="shared" si="5"/>
        <v>1.6365537880253477E-2</v>
      </c>
      <c r="K128" s="51">
        <f t="shared" si="6"/>
        <v>641.00943101523524</v>
      </c>
      <c r="L128" s="52">
        <f t="shared" si="2"/>
        <v>17.257946219640949</v>
      </c>
      <c r="M128" s="53">
        <v>87.5</v>
      </c>
      <c r="N128" s="54" t="s">
        <v>154</v>
      </c>
      <c r="O128" s="56" t="s">
        <v>155</v>
      </c>
      <c r="P128" s="55" t="s">
        <v>156</v>
      </c>
      <c r="Q128" s="55" t="s">
        <v>157</v>
      </c>
      <c r="R128" s="55" t="s">
        <v>158</v>
      </c>
      <c r="S128" s="29">
        <f t="shared" si="9"/>
        <v>11700</v>
      </c>
      <c r="T128" s="40">
        <f t="shared" si="7"/>
        <v>615.36905377462585</v>
      </c>
      <c r="U128" s="41">
        <f t="shared" si="3"/>
        <v>16.567628370855314</v>
      </c>
    </row>
    <row r="129" spans="2:21" ht="20.100000000000001" customHeight="1" thickTop="1" thickBot="1" x14ac:dyDescent="0.3">
      <c r="B129" s="34">
        <f t="shared" si="8"/>
        <v>0.30061433826700817</v>
      </c>
      <c r="C129" s="30"/>
      <c r="D129" s="46" t="str">
        <f t="shared" si="1"/>
        <v>BD395</v>
      </c>
      <c r="E129" s="47">
        <v>395</v>
      </c>
      <c r="F129" s="48">
        <v>350</v>
      </c>
      <c r="G129" s="47">
        <v>315</v>
      </c>
      <c r="H129" s="48">
        <v>315</v>
      </c>
      <c r="I129" s="49">
        <f>(1000/F129)^2</f>
        <v>8.1632653061224492</v>
      </c>
      <c r="J129" s="50">
        <f>4/3*PI()*(G129/2000)*(H129/2000)^2</f>
        <v>1.6365537880253477E-2</v>
      </c>
      <c r="K129" s="51">
        <f>2.5*(E129/1000-J129*I129)*1000</f>
        <v>653.50943101523512</v>
      </c>
      <c r="L129" s="52">
        <f t="shared" si="2"/>
        <v>17.371769685215114</v>
      </c>
      <c r="M129" s="53">
        <v>87.5</v>
      </c>
      <c r="N129" s="54" t="s">
        <v>154</v>
      </c>
      <c r="O129" s="56" t="s">
        <v>155</v>
      </c>
      <c r="P129" s="55" t="s">
        <v>156</v>
      </c>
      <c r="Q129" s="55" t="s">
        <v>157</v>
      </c>
      <c r="R129" s="55" t="s">
        <v>158</v>
      </c>
      <c r="S129" s="29"/>
      <c r="T129" s="40">
        <f t="shared" si="7"/>
        <v>627.36905377462585</v>
      </c>
      <c r="U129" s="41">
        <f t="shared" si="3"/>
        <v>16.67689889780651</v>
      </c>
    </row>
    <row r="130" spans="2:21" ht="20.100000000000001" customHeight="1" thickTop="1" thickBot="1" x14ac:dyDescent="0.3">
      <c r="B130" s="34">
        <f t="shared" si="8"/>
        <v>0.34191638659086648</v>
      </c>
      <c r="C130" s="30"/>
      <c r="D130" s="35" t="str">
        <f t="shared" si="1"/>
        <v>BD450</v>
      </c>
      <c r="E130" s="36">
        <v>450</v>
      </c>
      <c r="F130" s="37">
        <v>400</v>
      </c>
      <c r="G130" s="36">
        <v>360</v>
      </c>
      <c r="H130" s="37">
        <v>360</v>
      </c>
      <c r="I130" s="57">
        <f t="shared" si="4"/>
        <v>6.25</v>
      </c>
      <c r="J130" s="39">
        <f t="shared" si="5"/>
        <v>2.4429024474314227E-2</v>
      </c>
      <c r="K130" s="40">
        <f t="shared" si="6"/>
        <v>743.29649258884024</v>
      </c>
      <c r="L130" s="41">
        <f t="shared" si="2"/>
        <v>17.343584827072938</v>
      </c>
      <c r="M130" s="42">
        <v>200</v>
      </c>
      <c r="N130" s="43" t="s">
        <v>159</v>
      </c>
      <c r="O130" s="43" t="s">
        <v>160</v>
      </c>
      <c r="P130" s="44" t="s">
        <v>161</v>
      </c>
      <c r="Q130" s="44" t="s">
        <v>157</v>
      </c>
      <c r="R130" s="44" t="s">
        <v>162</v>
      </c>
      <c r="S130" s="29">
        <f t="shared" si="9"/>
        <v>13500</v>
      </c>
      <c r="T130" s="40">
        <f t="shared" si="7"/>
        <v>713.56463288528664</v>
      </c>
      <c r="U130" s="41">
        <f t="shared" si="3"/>
        <v>16.649841433990023</v>
      </c>
    </row>
    <row r="131" spans="2:21" ht="20.100000000000001" customHeight="1" thickTop="1" thickBot="1" x14ac:dyDescent="0.3">
      <c r="B131" s="34">
        <f t="shared" si="8"/>
        <v>0.4245204832385831</v>
      </c>
      <c r="C131" s="30"/>
      <c r="D131" s="35" t="str">
        <f t="shared" si="1"/>
        <v>BD560</v>
      </c>
      <c r="E131" s="36">
        <v>560</v>
      </c>
      <c r="F131" s="37">
        <v>500</v>
      </c>
      <c r="G131" s="36">
        <v>450</v>
      </c>
      <c r="H131" s="37">
        <v>450</v>
      </c>
      <c r="I131" s="57">
        <f>(1000/F131)^2</f>
        <v>4</v>
      </c>
      <c r="J131" s="39">
        <f>4/3*PI()*(G131/2000)*(H131/2000)^2</f>
        <v>4.7712938426394985E-2</v>
      </c>
      <c r="K131" s="40">
        <f>2.5*(E131/1000-J131*I131)*1000</f>
        <v>922.87061573605024</v>
      </c>
      <c r="L131" s="41">
        <f>K131/(E131/10)*1.05</f>
        <v>17.303824045050941</v>
      </c>
      <c r="M131" s="42">
        <v>166.7</v>
      </c>
      <c r="N131" s="43" t="s">
        <v>159</v>
      </c>
      <c r="O131" s="43" t="s">
        <v>160</v>
      </c>
      <c r="P131" s="44" t="s">
        <v>163</v>
      </c>
      <c r="Q131" s="44" t="s">
        <v>157</v>
      </c>
      <c r="R131" s="44" t="s">
        <v>162</v>
      </c>
      <c r="S131" s="29">
        <f>30*E131</f>
        <v>16800</v>
      </c>
      <c r="T131" s="40">
        <f>2.4*(E131/1000-J131*I131)*1000</f>
        <v>885.95579110660822</v>
      </c>
      <c r="U131" s="41">
        <f>T131/(E131/10)*1.05</f>
        <v>16.611671083248904</v>
      </c>
    </row>
    <row r="132" spans="2:21" ht="20.100000000000001" customHeight="1" thickTop="1" thickBot="1" x14ac:dyDescent="0.3">
      <c r="B132" s="34">
        <f t="shared" si="8"/>
        <v>0.47052048323858303</v>
      </c>
      <c r="C132" s="30"/>
      <c r="D132" s="46" t="str">
        <f t="shared" si="1"/>
        <v>BD600</v>
      </c>
      <c r="E132" s="47">
        <v>600</v>
      </c>
      <c r="F132" s="48">
        <v>500</v>
      </c>
      <c r="G132" s="47">
        <v>450</v>
      </c>
      <c r="H132" s="48">
        <f>G132</f>
        <v>450</v>
      </c>
      <c r="I132" s="49">
        <f t="shared" si="4"/>
        <v>4</v>
      </c>
      <c r="J132" s="50">
        <f t="shared" si="5"/>
        <v>4.7712938426394985E-2</v>
      </c>
      <c r="K132" s="51">
        <f t="shared" si="6"/>
        <v>1022.8706157360501</v>
      </c>
      <c r="L132" s="52">
        <f t="shared" si="2"/>
        <v>17.900235775380878</v>
      </c>
      <c r="M132" s="53">
        <v>166.7</v>
      </c>
      <c r="N132" s="54" t="s">
        <v>164</v>
      </c>
      <c r="O132" s="58" t="s">
        <v>165</v>
      </c>
      <c r="P132" s="55" t="s">
        <v>166</v>
      </c>
      <c r="Q132" s="55" t="s">
        <v>157</v>
      </c>
      <c r="R132" s="55" t="s">
        <v>167</v>
      </c>
      <c r="S132" s="29">
        <f t="shared" si="9"/>
        <v>18000</v>
      </c>
      <c r="T132" s="40">
        <f t="shared" si="7"/>
        <v>981.95579110660799</v>
      </c>
      <c r="U132" s="41">
        <f t="shared" si="3"/>
        <v>17.184226344365641</v>
      </c>
    </row>
    <row r="133" spans="2:21" ht="20.100000000000001" customHeight="1" thickTop="1" x14ac:dyDescent="0.2"/>
  </sheetData>
  <mergeCells count="32">
    <mergeCell ref="G119:H119"/>
    <mergeCell ref="M61:M62"/>
    <mergeCell ref="A71:A82"/>
    <mergeCell ref="D104:D117"/>
    <mergeCell ref="G61:G62"/>
    <mergeCell ref="H61:H62"/>
    <mergeCell ref="I61:I62"/>
    <mergeCell ref="J61:J62"/>
    <mergeCell ref="K61:K62"/>
    <mergeCell ref="L61:L62"/>
    <mergeCell ref="B61:B62"/>
    <mergeCell ref="C61:C62"/>
    <mergeCell ref="D61:D62"/>
    <mergeCell ref="E61:E62"/>
    <mergeCell ref="F61:F62"/>
    <mergeCell ref="L19:L20"/>
    <mergeCell ref="M19:M20"/>
    <mergeCell ref="B40:B41"/>
    <mergeCell ref="C40:L41"/>
    <mergeCell ref="M40:M41"/>
    <mergeCell ref="B13:C13"/>
    <mergeCell ref="B14:C14"/>
    <mergeCell ref="B15:C15"/>
    <mergeCell ref="B16:C16"/>
    <mergeCell ref="B19:B20"/>
    <mergeCell ref="C19:K19"/>
    <mergeCell ref="B9:C9"/>
    <mergeCell ref="D1:M2"/>
    <mergeCell ref="B5:C5"/>
    <mergeCell ref="B6:C6"/>
    <mergeCell ref="B7:C7"/>
    <mergeCell ref="B8:C8"/>
  </mergeCells>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INPUT</vt:lpstr>
      <vt:lpstr>CREEP</vt:lpstr>
      <vt:lpstr>SHRINKAGE</vt:lpstr>
      <vt:lpstr>DT</vt:lpstr>
      <vt:lpstr>bt</vt:lpstr>
      <vt:lpstr>cement</vt:lpstr>
      <vt:lpstr>crtbs</vt:lpstr>
      <vt:lpstr>crtec</vt:lpstr>
      <vt:lpstr>ct</vt:lpstr>
      <vt:lpstr>CREEP!Print_Area</vt:lpstr>
      <vt:lpstr>SHRINKAGE!Print_Area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LuongTheTrungMSc</dc:creator>
  <cp:lastModifiedBy>Administrator</cp:lastModifiedBy>
  <cp:lastPrinted>2018-07-24T03:40:44Z</cp:lastPrinted>
  <dcterms:created xsi:type="dcterms:W3CDTF">2015-01-16T02:50:18Z</dcterms:created>
  <dcterms:modified xsi:type="dcterms:W3CDTF">2018-07-24T03:46:50Z</dcterms:modified>
</cp:coreProperties>
</file>