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9f09b56e97f9459/xay dung/SAN DECK TCVN/"/>
    </mc:Choice>
  </mc:AlternateContent>
  <bookViews>
    <workbookView xWindow="480" yWindow="375" windowWidth="19875" windowHeight="8235" firstSheet="1" activeTab="1"/>
  </bookViews>
  <sheets>
    <sheet name="foxz" sheetId="2" state="veryHidden" r:id="rId1"/>
    <sheet name="Sheet1 (2)" sheetId="1" r:id="rId2"/>
  </sheets>
  <calcPr calcId="162913"/>
</workbook>
</file>

<file path=xl/calcChain.xml><?xml version="1.0" encoding="utf-8"?>
<calcChain xmlns="http://schemas.openxmlformats.org/spreadsheetml/2006/main">
  <c r="B224" i="1" l="1"/>
  <c r="B226" i="1" s="1"/>
  <c r="B227" i="1" s="1"/>
  <c r="B221" i="1"/>
  <c r="B219" i="1"/>
  <c r="B218" i="1"/>
  <c r="B207" i="1"/>
  <c r="B191" i="1"/>
  <c r="B189" i="1"/>
  <c r="C237" i="1" s="1"/>
  <c r="B188" i="1"/>
  <c r="B181" i="1"/>
  <c r="B178" i="1"/>
  <c r="B171" i="1"/>
  <c r="B175" i="1" s="1"/>
  <c r="B176" i="1" s="1"/>
  <c r="B167" i="1"/>
  <c r="B169" i="1" s="1"/>
  <c r="C149" i="1"/>
  <c r="C150" i="1" s="1"/>
  <c r="C144" i="1"/>
  <c r="C145" i="1" s="1"/>
  <c r="C126" i="1"/>
  <c r="C127" i="1" s="1"/>
  <c r="D127" i="1" s="1"/>
  <c r="C125" i="1"/>
  <c r="C146" i="1" s="1"/>
  <c r="D146" i="1" s="1"/>
  <c r="C124" i="1"/>
  <c r="D124" i="1" s="1"/>
  <c r="D123" i="1"/>
  <c r="C123" i="1"/>
  <c r="B107" i="1"/>
  <c r="B105" i="1"/>
  <c r="B103" i="1"/>
  <c r="B101" i="1"/>
  <c r="B157" i="1" s="1"/>
  <c r="B95" i="1"/>
  <c r="B111" i="1" s="1"/>
  <c r="C160" i="1" s="1"/>
  <c r="B85" i="1"/>
  <c r="B84" i="1"/>
  <c r="B54" i="1"/>
  <c r="B208" i="1" s="1"/>
  <c r="B53" i="1"/>
  <c r="B237" i="1" s="1"/>
  <c r="D237" i="1" s="1"/>
  <c r="B41" i="1"/>
  <c r="D41" i="1" s="1"/>
  <c r="B209" i="1" s="1"/>
  <c r="B211" i="1" s="1"/>
  <c r="B212" i="1" s="1"/>
  <c r="B36" i="1"/>
  <c r="B31" i="1"/>
  <c r="B27" i="1"/>
  <c r="B18" i="1"/>
  <c r="D125" i="1" l="1"/>
  <c r="D149" i="1"/>
  <c r="B190" i="1"/>
  <c r="C151" i="1"/>
  <c r="D151" i="1" s="1"/>
  <c r="D150" i="1"/>
  <c r="B233" i="1"/>
  <c r="D233" i="1" s="1"/>
  <c r="B200" i="1"/>
  <c r="C162" i="1"/>
  <c r="D162" i="1" s="1"/>
  <c r="D160" i="1"/>
  <c r="C147" i="1"/>
  <c r="D145" i="1"/>
  <c r="B213" i="1"/>
  <c r="D214" i="1" s="1"/>
  <c r="B229" i="1"/>
  <c r="B230" i="1" s="1"/>
  <c r="B231" i="1" s="1"/>
  <c r="D144" i="1"/>
  <c r="B202" i="1"/>
  <c r="D203" i="1" s="1"/>
  <c r="B182" i="1"/>
  <c r="A183" i="1" s="1"/>
  <c r="D126" i="1"/>
  <c r="D182" i="1"/>
  <c r="B192" i="1"/>
  <c r="B194" i="1" s="1"/>
  <c r="B195" i="1" s="1"/>
  <c r="D147" i="1" l="1"/>
  <c r="C148" i="1"/>
  <c r="D148" i="1" s="1"/>
  <c r="B184" i="1"/>
  <c r="D185" i="1" s="1"/>
</calcChain>
</file>

<file path=xl/comments1.xml><?xml version="1.0" encoding="utf-8"?>
<comments xmlns="http://schemas.openxmlformats.org/spreadsheetml/2006/main">
  <authors>
    <author>BBs</author>
    <author>Windows User</author>
  </authors>
  <commentList>
    <comment ref="B177" authorId="0" shapeId="0">
      <text>
        <r>
          <rPr>
            <b/>
            <sz val="8"/>
            <color indexed="81"/>
            <rFont val="Tahoma"/>
          </rPr>
          <t>BBs:</t>
        </r>
        <r>
          <rPr>
            <sz val="8"/>
            <color indexed="81"/>
            <rFont val="Tahoma"/>
          </rPr>
          <t xml:space="preserve">
Tra bảng</t>
        </r>
      </text>
    </comment>
    <comment ref="B185" authorId="0" shapeId="0">
      <text>
        <r>
          <rPr>
            <b/>
            <sz val="8"/>
            <color indexed="81"/>
            <rFont val="Tahoma"/>
          </rPr>
          <t>BBs:</t>
        </r>
        <r>
          <rPr>
            <sz val="8"/>
            <color indexed="81"/>
            <rFont val="Tahoma"/>
          </rPr>
          <t xml:space="preserve">
Lấy trong Sap</t>
        </r>
      </text>
    </comment>
    <comment ref="B189" authorId="0" shapeId="0">
      <text>
        <r>
          <rPr>
            <b/>
            <sz val="8"/>
            <color indexed="81"/>
            <rFont val="Tahoma"/>
          </rPr>
          <t>BBs:</t>
        </r>
        <r>
          <rPr>
            <sz val="8"/>
            <color indexed="81"/>
            <rFont val="Tahoma"/>
          </rPr>
          <t xml:space="preserve">
Tra bảng</t>
        </r>
      </text>
    </comment>
    <comment ref="B191" authorId="0" shapeId="0">
      <text>
        <r>
          <rPr>
            <b/>
            <sz val="8"/>
            <color indexed="81"/>
            <rFont val="Tahoma"/>
          </rPr>
          <t>BBs:</t>
        </r>
        <r>
          <rPr>
            <sz val="8"/>
            <color indexed="81"/>
            <rFont val="Tahoma"/>
          </rPr>
          <t xml:space="preserve">
4 sườn trong 1m</t>
        </r>
      </text>
    </comment>
    <comment ref="B193" authorId="0" shapeId="0">
      <text>
        <r>
          <rPr>
            <b/>
            <sz val="8"/>
            <color indexed="81"/>
            <rFont val="Tahoma"/>
          </rPr>
          <t>BBs:</t>
        </r>
        <r>
          <rPr>
            <sz val="8"/>
            <color indexed="81"/>
            <rFont val="Tahoma"/>
          </rPr>
          <t xml:space="preserve">
Bê tông bảo vệ</t>
        </r>
      </text>
    </comment>
    <comment ref="B196" authorId="0" shapeId="0">
      <text>
        <r>
          <rPr>
            <b/>
            <sz val="8"/>
            <color indexed="81"/>
            <rFont val="Tahoma"/>
          </rPr>
          <t>BBs:</t>
        </r>
        <r>
          <rPr>
            <sz val="8"/>
            <color indexed="81"/>
            <rFont val="Tahoma"/>
          </rPr>
          <t xml:space="preserve">
Lấy trong Sap</t>
        </r>
      </text>
    </comment>
    <comment ref="B203" authorId="0" shapeId="0">
      <text>
        <r>
          <rPr>
            <b/>
            <sz val="8"/>
            <color indexed="81"/>
            <rFont val="Tahoma"/>
          </rPr>
          <t>BBs:</t>
        </r>
        <r>
          <rPr>
            <sz val="8"/>
            <color indexed="81"/>
            <rFont val="Tahoma"/>
          </rPr>
          <t xml:space="preserve">
Lấy kq trong Sap</t>
        </r>
      </text>
    </comment>
    <comment ref="B206" authorId="1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Tra bảng</t>
        </r>
      </text>
    </comment>
    <comment ref="B214" authorId="1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Lấy kq trong Sap</t>
        </r>
      </text>
    </comment>
    <comment ref="B232" authorId="1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Lấy kq trong Sap</t>
        </r>
      </text>
    </comment>
  </commentList>
</comments>
</file>

<file path=xl/sharedStrings.xml><?xml version="1.0" encoding="utf-8"?>
<sst xmlns="http://schemas.openxmlformats.org/spreadsheetml/2006/main" count="183" uniqueCount="172">
  <si>
    <t>SÀN LIÊN HỢP THÉP - BÊ TÔNG</t>
  </si>
  <si>
    <t>I. DỮ LIỆU BAN ĐẦU</t>
  </si>
  <si>
    <t>1. Tấm tôn thép</t>
  </si>
  <si>
    <t>a. Sử dụng tấm tôn thép comflor 46 có hình dạng như sau:</t>
  </si>
  <si>
    <t>Hình 1. Cấu tạo sàn liên hợp</t>
  </si>
  <si>
    <r>
      <t>Giới hạn chảy f</t>
    </r>
    <r>
      <rPr>
        <vertAlign val="subscript"/>
        <sz val="12"/>
        <color indexed="63"/>
        <rFont val="Times New Roman"/>
        <family val="1"/>
      </rPr>
      <t xml:space="preserve">yp,k </t>
    </r>
    <r>
      <rPr>
        <sz val="12"/>
        <color indexed="63"/>
        <rFont val="Times New Roman"/>
        <family val="1"/>
      </rPr>
      <t>(N/mm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</si>
  <si>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r>
      <t>Module đàn hồi E</t>
    </r>
    <r>
      <rPr>
        <vertAlign val="subscript"/>
        <sz val="12"/>
        <color indexed="63"/>
        <rFont val="Times New Roman"/>
        <family val="1"/>
      </rPr>
      <t>s</t>
    </r>
    <r>
      <rPr>
        <sz val="12"/>
        <color indexed="63"/>
        <rFont val="Times New Roman"/>
        <family val="1"/>
      </rPr>
      <t xml:space="preserve"> (kN/mm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</si>
  <si>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t>Chiều dày danh định t (mm) =</t>
  </si>
  <si>
    <r>
      <t>Chiều dày tính toán t</t>
    </r>
    <r>
      <rPr>
        <vertAlign val="subscript"/>
        <sz val="12"/>
        <color indexed="63"/>
        <rFont val="Times New Roman"/>
        <family val="1"/>
      </rPr>
      <t xml:space="preserve">s </t>
    </r>
    <r>
      <rPr>
        <sz val="12"/>
        <color indexed="63"/>
        <rFont val="Times New Roman"/>
        <family val="1"/>
      </rPr>
      <t>(mm) =</t>
    </r>
  </si>
  <si>
    <r>
      <t>Diện tích tiết diện A</t>
    </r>
    <r>
      <rPr>
        <vertAlign val="subscript"/>
        <sz val="12"/>
        <color indexed="63"/>
        <rFont val="Times New Roman"/>
        <family val="1"/>
      </rPr>
      <t>p</t>
    </r>
    <r>
      <rPr>
        <sz val="12"/>
        <color indexed="63"/>
        <rFont val="Times New Roman"/>
        <family val="1"/>
      </rPr>
      <t xml:space="preserve"> (mm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/m) =</t>
    </r>
  </si>
  <si>
    <r>
      <t>Chiều cao tấm tôn h</t>
    </r>
    <r>
      <rPr>
        <vertAlign val="subscript"/>
        <sz val="12"/>
        <color indexed="63"/>
        <rFont val="Times New Roman"/>
        <family val="1"/>
      </rPr>
      <t xml:space="preserve">p </t>
    </r>
    <r>
      <rPr>
        <sz val="12"/>
        <color indexed="63"/>
        <rFont val="Times New Roman"/>
        <family val="1"/>
      </rPr>
      <t>(mm) =</t>
    </r>
  </si>
  <si>
    <r>
      <t>Thể tích bê tông trên một đơn vị diện tích V</t>
    </r>
    <r>
      <rPr>
        <vertAlign val="subscript"/>
        <sz val="12"/>
        <color indexed="63"/>
        <rFont val="Times New Roman"/>
        <family val="1"/>
      </rPr>
      <t>c</t>
    </r>
    <r>
      <rPr>
        <sz val="12"/>
        <color indexed="63"/>
        <rFont val="Times New Roman"/>
        <family val="1"/>
      </rPr>
      <t xml:space="preserve"> (m</t>
    </r>
    <r>
      <rPr>
        <vertAlign val="superscript"/>
        <sz val="12"/>
        <color indexed="63"/>
        <rFont val="Times New Roman"/>
        <family val="1"/>
      </rPr>
      <t>3</t>
    </r>
    <r>
      <rPr>
        <sz val="12"/>
        <color indexed="63"/>
        <rFont val="Times New Roman"/>
        <family val="1"/>
      </rPr>
      <t>/m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</t>
    </r>
  </si>
  <si>
    <r>
      <t>Trọng lượng tôn thép W</t>
    </r>
    <r>
      <rPr>
        <vertAlign val="subscript"/>
        <sz val="12"/>
        <color indexed="63"/>
        <rFont val="Times New Roman"/>
        <family val="1"/>
      </rPr>
      <t>p</t>
    </r>
    <r>
      <rPr>
        <sz val="12"/>
        <color indexed="63"/>
        <rFont val="Times New Roman"/>
        <family val="1"/>
      </rPr>
      <t xml:space="preserve"> (kN/mm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</si>
  <si>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r>
      <t>Mômen quán tính dương I</t>
    </r>
    <r>
      <rPr>
        <vertAlign val="superscript"/>
        <sz val="12"/>
        <color indexed="63"/>
        <rFont val="Times New Roman"/>
        <family val="1"/>
      </rPr>
      <t>+</t>
    </r>
    <r>
      <rPr>
        <sz val="12"/>
        <color indexed="63"/>
        <rFont val="Times New Roman"/>
        <family val="1"/>
      </rPr>
      <t xml:space="preserve"> (cm</t>
    </r>
    <r>
      <rPr>
        <vertAlign val="superscript"/>
        <sz val="12"/>
        <color indexed="63"/>
        <rFont val="Times New Roman"/>
        <family val="1"/>
      </rPr>
      <t>4</t>
    </r>
    <r>
      <rPr>
        <sz val="12"/>
        <color indexed="63"/>
        <rFont val="Times New Roman"/>
        <family val="1"/>
      </rPr>
      <t>/m) =</t>
    </r>
  </si>
  <si>
    <r>
      <t>Mômen quán tính âm I</t>
    </r>
    <r>
      <rPr>
        <vertAlign val="superscript"/>
        <sz val="12"/>
        <color indexed="63"/>
        <rFont val="Times New Roman"/>
        <family val="1"/>
      </rPr>
      <t>-</t>
    </r>
    <r>
      <rPr>
        <sz val="12"/>
        <color indexed="63"/>
        <rFont val="Times New Roman"/>
        <family val="1"/>
      </rPr>
      <t xml:space="preserve"> (cm</t>
    </r>
    <r>
      <rPr>
        <vertAlign val="superscript"/>
        <sz val="12"/>
        <color indexed="63"/>
        <rFont val="Times New Roman"/>
        <family val="1"/>
      </rPr>
      <t>4</t>
    </r>
    <r>
      <rPr>
        <sz val="12"/>
        <color indexed="63"/>
        <rFont val="Times New Roman"/>
        <family val="1"/>
      </rPr>
      <t>/m) =</t>
    </r>
  </si>
  <si>
    <t>-</t>
  </si>
  <si>
    <r>
      <t>Sức kháng M dương M</t>
    </r>
    <r>
      <rPr>
        <vertAlign val="subscript"/>
        <sz val="12"/>
        <color indexed="63"/>
        <rFont val="Times New Roman"/>
        <family val="1"/>
      </rPr>
      <t>Rd</t>
    </r>
    <r>
      <rPr>
        <vertAlign val="superscript"/>
        <sz val="12"/>
        <color indexed="63"/>
        <rFont val="Times New Roman"/>
        <family val="1"/>
      </rPr>
      <t xml:space="preserve">+ </t>
    </r>
    <r>
      <rPr>
        <sz val="12"/>
        <color indexed="63"/>
        <rFont val="Times New Roman"/>
        <family val="1"/>
      </rPr>
      <t>(kNm/m) =</t>
    </r>
  </si>
  <si>
    <r>
      <t>Sức kháng M âm M</t>
    </r>
    <r>
      <rPr>
        <vertAlign val="subscript"/>
        <sz val="12"/>
        <color indexed="63"/>
        <rFont val="Times New Roman"/>
        <family val="1"/>
      </rPr>
      <t>Rd</t>
    </r>
    <r>
      <rPr>
        <vertAlign val="superscript"/>
        <sz val="12"/>
        <color indexed="63"/>
        <rFont val="Times New Roman"/>
        <family val="1"/>
      </rPr>
      <t>-</t>
    </r>
    <r>
      <rPr>
        <sz val="12"/>
        <color indexed="63"/>
        <rFont val="Times New Roman"/>
        <family val="1"/>
      </rPr>
      <t xml:space="preserve"> (kNm/m) =</t>
    </r>
  </si>
  <si>
    <r>
      <t>Sức kháng đặc trưng M</t>
    </r>
    <r>
      <rPr>
        <vertAlign val="subscript"/>
        <sz val="12"/>
        <color indexed="63"/>
        <rFont val="Times New Roman"/>
        <family val="1"/>
      </rPr>
      <t>pa</t>
    </r>
    <r>
      <rPr>
        <sz val="12"/>
        <color indexed="63"/>
        <rFont val="Times New Roman"/>
        <family val="1"/>
      </rPr>
      <t xml:space="preserve"> (kNm/m) =</t>
    </r>
  </si>
  <si>
    <t>Khoảng cách từ mặt dưới tới trọng tâm tấm tôn e (mm) =</t>
  </si>
  <si>
    <r>
      <t>Khoảng cách từ mặt dưới tới trục trung hòa tấm tôn e</t>
    </r>
    <r>
      <rPr>
        <vertAlign val="subscript"/>
        <sz val="12"/>
        <color indexed="63"/>
        <rFont val="Times New Roman"/>
        <family val="1"/>
      </rPr>
      <t xml:space="preserve">p </t>
    </r>
    <r>
      <rPr>
        <sz val="12"/>
        <color indexed="63"/>
        <rFont val="Times New Roman"/>
        <family val="1"/>
      </rPr>
      <t>(mm) =</t>
    </r>
  </si>
  <si>
    <r>
      <t>Lực cắt tính toán V</t>
    </r>
    <r>
      <rPr>
        <vertAlign val="subscript"/>
        <sz val="12"/>
        <color indexed="63"/>
        <rFont val="Times New Roman"/>
        <family val="1"/>
      </rPr>
      <t xml:space="preserve">Rd </t>
    </r>
    <r>
      <rPr>
        <sz val="12"/>
        <color indexed="63"/>
        <rFont val="Times New Roman"/>
        <family val="1"/>
      </rPr>
      <t>(kN) =</t>
    </r>
  </si>
  <si>
    <r>
      <t>Lực cắt đặc trưng V</t>
    </r>
    <r>
      <rPr>
        <vertAlign val="subscript"/>
        <sz val="12"/>
        <color indexed="63"/>
        <rFont val="Times New Roman"/>
        <family val="1"/>
      </rPr>
      <t>pa</t>
    </r>
    <r>
      <rPr>
        <sz val="12"/>
        <color indexed="63"/>
        <rFont val="Times New Roman"/>
        <family val="1"/>
      </rPr>
      <t xml:space="preserve"> (kN) =</t>
    </r>
  </si>
  <si>
    <r>
      <t>Hệ số m (N/mm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</si>
  <si>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r>
      <t>Hệ số k (N/mm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</si>
  <si>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t>b. Kích thước hình học tấm tôn</t>
  </si>
  <si>
    <r>
      <t>Bề rộng b</t>
    </r>
    <r>
      <rPr>
        <vertAlign val="subscript"/>
        <sz val="12"/>
        <color indexed="63"/>
        <rFont val="Times New Roman"/>
        <family val="1"/>
      </rPr>
      <t>1</t>
    </r>
    <r>
      <rPr>
        <sz val="12"/>
        <color indexed="63"/>
        <rFont val="Times New Roman"/>
        <family val="1"/>
      </rPr>
      <t xml:space="preserve"> (mm) =</t>
    </r>
  </si>
  <si>
    <r>
      <t>Bề rộng b</t>
    </r>
    <r>
      <rPr>
        <vertAlign val="sub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 xml:space="preserve"> (mm) =</t>
    </r>
  </si>
  <si>
    <r>
      <t>Bề rộng b</t>
    </r>
    <r>
      <rPr>
        <vertAlign val="subscript"/>
        <sz val="12"/>
        <color indexed="63"/>
        <rFont val="Times New Roman"/>
        <family val="1"/>
      </rPr>
      <t>3</t>
    </r>
    <r>
      <rPr>
        <sz val="12"/>
        <color indexed="63"/>
        <rFont val="Times New Roman"/>
        <family val="1"/>
      </rPr>
      <t xml:space="preserve"> (mm) =</t>
    </r>
  </si>
  <si>
    <r>
      <t>Bề rộng b</t>
    </r>
    <r>
      <rPr>
        <vertAlign val="subscript"/>
        <sz val="12"/>
        <color indexed="63"/>
        <rFont val="Times New Roman"/>
        <family val="1"/>
      </rPr>
      <t>4</t>
    </r>
    <r>
      <rPr>
        <sz val="12"/>
        <color indexed="63"/>
        <rFont val="Times New Roman"/>
        <family val="1"/>
      </rPr>
      <t xml:space="preserve"> (mm) =</t>
    </r>
  </si>
  <si>
    <t>tan α =</t>
  </si>
  <si>
    <t>Góc nghiêng α =</t>
  </si>
  <si>
    <t>2. Đặc trưng sàn</t>
  </si>
  <si>
    <t>Chiều cao sàn liên hợp h (mm) =</t>
  </si>
  <si>
    <r>
      <t>Chiều cao lớp bê tông phía trên tấm tôn h</t>
    </r>
    <r>
      <rPr>
        <vertAlign val="subscript"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(mm) =</t>
    </r>
  </si>
  <si>
    <r>
      <t>Khoảng cách từ mặt trên đến trọng tâm tấm tôn d</t>
    </r>
    <r>
      <rPr>
        <vertAlign val="subscript"/>
        <sz val="12"/>
        <rFont val="Times New Roman"/>
        <family val="1"/>
      </rPr>
      <t>p</t>
    </r>
    <r>
      <rPr>
        <sz val="12"/>
        <rFont val="Times New Roman"/>
        <family val="1"/>
      </rPr>
      <t xml:space="preserve"> (mm) =</t>
    </r>
  </si>
  <si>
    <t>3. Bê tông</t>
  </si>
  <si>
    <t xml:space="preserve">Cấp độ bền bê tông </t>
  </si>
  <si>
    <t>C20/25</t>
  </si>
  <si>
    <r>
      <t>Trọng lượng riêng γ (kN/m</t>
    </r>
    <r>
      <rPr>
        <vertAlign val="superscript"/>
        <sz val="12"/>
        <color indexed="63"/>
        <rFont val="Times New Roman"/>
        <family val="1"/>
      </rPr>
      <t>3</t>
    </r>
    <r>
      <rPr>
        <sz val="12"/>
        <color indexed="63"/>
        <rFont val="Times New Roman"/>
        <family val="1"/>
      </rPr>
      <t>) =</t>
    </r>
  </si>
  <si>
    <r>
      <t>Cường độ chịu nén mẫu hình trụ f</t>
    </r>
    <r>
      <rPr>
        <vertAlign val="subscript"/>
        <sz val="12"/>
        <color indexed="63"/>
        <rFont val="Times New Roman"/>
        <family val="1"/>
      </rPr>
      <t>ck</t>
    </r>
    <r>
      <rPr>
        <sz val="12"/>
        <color indexed="63"/>
        <rFont val="Times New Roman"/>
        <family val="1"/>
      </rPr>
      <t xml:space="preserve"> (N/mm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</si>
  <si>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r>
      <t>Cường độ chịu kéo mẫu trụ f</t>
    </r>
    <r>
      <rPr>
        <vertAlign val="subscript"/>
        <sz val="12"/>
        <color indexed="63"/>
        <rFont val="Times New Roman"/>
        <family val="1"/>
      </rPr>
      <t>ctm</t>
    </r>
    <r>
      <rPr>
        <sz val="12"/>
        <color indexed="63"/>
        <rFont val="Times New Roman"/>
        <family val="1"/>
      </rPr>
      <t xml:space="preserve"> (N/mm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</si>
  <si>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r>
      <t>Module đàn hồi cát tuyến E</t>
    </r>
    <r>
      <rPr>
        <vertAlign val="subscript"/>
        <sz val="12"/>
        <color indexed="63"/>
        <rFont val="Times New Roman"/>
        <family val="1"/>
      </rPr>
      <t>cm</t>
    </r>
    <r>
      <rPr>
        <sz val="12"/>
        <color indexed="63"/>
        <rFont val="Times New Roman"/>
        <family val="1"/>
      </rPr>
      <t xml:space="preserve"> (kN/mm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</t>
    </r>
  </si>
  <si>
    <t>4. Đặc trưng cốt thép</t>
  </si>
  <si>
    <t>Đường kính cốt thép d (mm) =</t>
  </si>
  <si>
    <t>Khoảng cách bố trí thép a (mm) =</t>
  </si>
  <si>
    <r>
      <t>Diện tích cốt thép A</t>
    </r>
    <r>
      <rPr>
        <vertAlign val="subscript"/>
        <sz val="12"/>
        <color indexed="63"/>
        <rFont val="Times New Roman"/>
        <family val="1"/>
      </rPr>
      <t>s</t>
    </r>
    <r>
      <rPr>
        <sz val="12"/>
        <color indexed="63"/>
        <rFont val="Times New Roman"/>
        <family val="1"/>
      </rPr>
      <t xml:space="preserve"> (mm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/m) =</t>
    </r>
  </si>
  <si>
    <r>
      <t>Giới hạn đàn hồi f</t>
    </r>
    <r>
      <rPr>
        <vertAlign val="subscript"/>
        <sz val="12"/>
        <color indexed="63"/>
        <rFont val="Times New Roman"/>
        <family val="1"/>
      </rPr>
      <t>sk</t>
    </r>
    <r>
      <rPr>
        <sz val="12"/>
        <color indexed="63"/>
        <rFont val="Times New Roman"/>
        <family val="1"/>
      </rPr>
      <t xml:space="preserve"> (N/mm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</si>
  <si>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r>
      <t>Module đàn hồi E</t>
    </r>
    <r>
      <rPr>
        <vertAlign val="subscript"/>
        <sz val="12"/>
        <color indexed="63"/>
        <rFont val="Times New Roman"/>
        <family val="1"/>
      </rPr>
      <t>a</t>
    </r>
    <r>
      <rPr>
        <sz val="12"/>
        <color indexed="63"/>
        <rFont val="Times New Roman"/>
        <family val="1"/>
      </rPr>
      <t xml:space="preserve"> (kN/mm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</si>
  <si>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t>5. Hệ số an toàn</t>
  </si>
  <si>
    <r>
      <t>Tỉnh tải γ</t>
    </r>
    <r>
      <rPr>
        <vertAlign val="subscript"/>
        <sz val="12"/>
        <color indexed="63"/>
        <rFont val="Times New Roman"/>
        <family val="1"/>
      </rPr>
      <t>G</t>
    </r>
    <r>
      <rPr>
        <sz val="12"/>
        <color indexed="63"/>
        <rFont val="Times New Roman"/>
        <family val="1"/>
      </rPr>
      <t xml:space="preserve"> =</t>
    </r>
  </si>
  <si>
    <r>
      <t>Hoạt tải γ</t>
    </r>
    <r>
      <rPr>
        <vertAlign val="subscript"/>
        <sz val="12"/>
        <color indexed="63"/>
        <rFont val="Times New Roman"/>
        <family val="1"/>
      </rPr>
      <t>Q</t>
    </r>
    <r>
      <rPr>
        <sz val="12"/>
        <color indexed="63"/>
        <rFont val="Times New Roman"/>
        <family val="1"/>
      </rPr>
      <t xml:space="preserve"> =</t>
    </r>
  </si>
  <si>
    <r>
      <t>Bê tông γ</t>
    </r>
    <r>
      <rPr>
        <vertAlign val="subscript"/>
        <sz val="12"/>
        <color indexed="63"/>
        <rFont val="Times New Roman"/>
        <family val="1"/>
      </rPr>
      <t>c</t>
    </r>
    <r>
      <rPr>
        <sz val="12"/>
        <color indexed="63"/>
        <rFont val="Times New Roman"/>
        <family val="1"/>
      </rPr>
      <t xml:space="preserve"> =</t>
    </r>
  </si>
  <si>
    <r>
      <t>Thép tôn, thép kết cấu γ</t>
    </r>
    <r>
      <rPr>
        <vertAlign val="subscript"/>
        <sz val="12"/>
        <color indexed="63"/>
        <rFont val="Times New Roman"/>
        <family val="1"/>
      </rPr>
      <t>a</t>
    </r>
    <r>
      <rPr>
        <sz val="12"/>
        <color indexed="63"/>
        <rFont val="Times New Roman"/>
        <family val="1"/>
      </rPr>
      <t>, γ</t>
    </r>
    <r>
      <rPr>
        <vertAlign val="subscript"/>
        <sz val="12"/>
        <color indexed="63"/>
        <rFont val="Times New Roman"/>
        <family val="1"/>
      </rPr>
      <t>ap</t>
    </r>
    <r>
      <rPr>
        <sz val="12"/>
        <color indexed="63"/>
        <rFont val="Times New Roman"/>
        <family val="1"/>
      </rPr>
      <t xml:space="preserve"> =</t>
    </r>
  </si>
  <si>
    <r>
      <t>Cốt thép thanh γ</t>
    </r>
    <r>
      <rPr>
        <vertAlign val="subscript"/>
        <sz val="12"/>
        <color indexed="63"/>
        <rFont val="Times New Roman"/>
        <family val="1"/>
      </rPr>
      <t>s</t>
    </r>
    <r>
      <rPr>
        <sz val="12"/>
        <color indexed="63"/>
        <rFont val="Times New Roman"/>
        <family val="1"/>
      </rPr>
      <t xml:space="preserve"> =</t>
    </r>
  </si>
  <si>
    <r>
      <t>Hệ số tính toán lực cắt γ</t>
    </r>
    <r>
      <rPr>
        <vertAlign val="subscript"/>
        <sz val="12"/>
        <color indexed="63"/>
        <rFont val="Times New Roman"/>
        <family val="1"/>
      </rPr>
      <t>VS</t>
    </r>
    <r>
      <rPr>
        <sz val="12"/>
        <color indexed="63"/>
        <rFont val="Times New Roman"/>
        <family val="1"/>
      </rPr>
      <t xml:space="preserve"> =</t>
    </r>
  </si>
  <si>
    <t>II. KIỂM TRA TRONG GIAI ĐOẠN THI CÔNG( có cây chống giữa)</t>
  </si>
  <si>
    <t>1. Tải trọng</t>
  </si>
  <si>
    <r>
      <t>Trọng lượng của tấm tôn g</t>
    </r>
    <r>
      <rPr>
        <vertAlign val="subscript"/>
        <sz val="12"/>
        <color indexed="63"/>
        <rFont val="Times New Roman"/>
        <family val="1"/>
      </rPr>
      <t>p</t>
    </r>
    <r>
      <rPr>
        <sz val="12"/>
        <color indexed="63"/>
        <rFont val="Times New Roman"/>
        <family val="1"/>
      </rPr>
      <t xml:space="preserve"> (kN/m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 xml:space="preserve">) = </t>
    </r>
  </si>
  <si>
    <r>
      <t>Trọng lượng của bê tông ướt g</t>
    </r>
    <r>
      <rPr>
        <vertAlign val="subscript"/>
        <sz val="12"/>
        <color indexed="63"/>
        <rFont val="Times New Roman"/>
        <family val="1"/>
      </rPr>
      <t xml:space="preserve">c </t>
    </r>
    <r>
      <rPr>
        <sz val="12"/>
        <color indexed="63"/>
        <rFont val="Times New Roman"/>
        <family val="1"/>
      </rPr>
      <t>(kN/m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 xml:space="preserve">) = </t>
    </r>
  </si>
  <si>
    <r>
      <t>Hoạt tải phân bố trong phạm vi 3x3 m (kN/m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</si>
  <si>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r>
      <t>Hoạt tải phân bố trong phần còn lại (kN/m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</si>
  <si>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t>Phương pháp tính: Cắt dải sàn bề rộng 1m</t>
  </si>
  <si>
    <t>Khoảng cách giữa các vách, m:</t>
  </si>
  <si>
    <t>Bề rộng cánh thép góc đỡ sàn, mm:</t>
  </si>
  <si>
    <t>Đoạn kê lên cánh, mm:</t>
  </si>
  <si>
    <t>Bề rộng gối đỡ cây chống, mm:</t>
  </si>
  <si>
    <t>Chiều dài tính toán, mm:</t>
  </si>
  <si>
    <r>
      <t>L</t>
    </r>
    <r>
      <rPr>
        <vertAlign val="subscript"/>
        <sz val="12"/>
        <color indexed="63"/>
        <rFont val="Times New Roman"/>
        <family val="1"/>
      </rPr>
      <t>e</t>
    </r>
    <r>
      <rPr>
        <sz val="12"/>
        <color indexed="63"/>
        <rFont val="Times New Roman"/>
        <family val="1"/>
      </rPr>
      <t xml:space="preserve"> =</t>
    </r>
  </si>
  <si>
    <t>2. Kiểm tra trạng thái tới hạn</t>
  </si>
  <si>
    <t>a. Tải trọng (đã nhân với bề rộng 1 m)</t>
  </si>
  <si>
    <r>
      <t>Trọng lượng riên bê tông tăng thêm 1 kN/m</t>
    </r>
    <r>
      <rPr>
        <vertAlign val="superscript"/>
        <sz val="12"/>
        <color indexed="63"/>
        <rFont val="Times New Roman"/>
        <family val="1"/>
      </rPr>
      <t>3</t>
    </r>
    <r>
      <rPr>
        <sz val="12"/>
        <color indexed="63"/>
        <rFont val="Times New Roman"/>
        <family val="1"/>
      </rPr>
      <t xml:space="preserve"> do bê tông ướt:</t>
    </r>
  </si>
  <si>
    <t>Tĩnh tải sàn, kN/m:</t>
  </si>
  <si>
    <r>
      <t>g  = W</t>
    </r>
    <r>
      <rPr>
        <vertAlign val="subscript"/>
        <sz val="12"/>
        <color indexed="63"/>
        <rFont val="Times New Roman"/>
        <family val="1"/>
      </rPr>
      <t>p</t>
    </r>
    <r>
      <rPr>
        <sz val="12"/>
        <color indexed="63"/>
        <rFont val="Times New Roman"/>
        <family val="1"/>
      </rPr>
      <t xml:space="preserve"> + V</t>
    </r>
    <r>
      <rPr>
        <vertAlign val="subscript"/>
        <sz val="12"/>
        <color indexed="63"/>
        <rFont val="Times New Roman"/>
        <family val="1"/>
      </rPr>
      <t>c</t>
    </r>
    <r>
      <rPr>
        <sz val="12"/>
        <color indexed="63"/>
        <rFont val="Times New Roman"/>
        <family val="1"/>
      </rPr>
      <t>*</t>
    </r>
    <r>
      <rPr>
        <sz val="12"/>
        <color indexed="63"/>
        <rFont val="Symbol"/>
        <family val="1"/>
        <charset val="2"/>
      </rPr>
      <t>g</t>
    </r>
    <r>
      <rPr>
        <vertAlign val="subscript"/>
        <sz val="12"/>
        <color indexed="63"/>
        <rFont val="Times New Roman"/>
        <family val="1"/>
      </rPr>
      <t>c</t>
    </r>
    <r>
      <rPr>
        <sz val="12"/>
        <color indexed="63"/>
        <rFont val="Times New Roman"/>
        <family val="1"/>
      </rPr>
      <t xml:space="preserve"> =</t>
    </r>
  </si>
  <si>
    <t>Tĩnh tải tính toán, kN/m:</t>
  </si>
  <si>
    <r>
      <t>g</t>
    </r>
    <r>
      <rPr>
        <vertAlign val="subscript"/>
        <sz val="12"/>
        <color indexed="63"/>
        <rFont val="Times New Roman"/>
        <family val="1"/>
      </rPr>
      <t>tt</t>
    </r>
    <r>
      <rPr>
        <sz val="12"/>
        <color indexed="63"/>
        <rFont val="Times New Roman"/>
        <family val="1"/>
      </rPr>
      <t xml:space="preserve">  = g*</t>
    </r>
    <r>
      <rPr>
        <sz val="12"/>
        <color indexed="63"/>
        <rFont val="Symbol"/>
        <family val="1"/>
        <charset val="2"/>
      </rPr>
      <t>g</t>
    </r>
    <r>
      <rPr>
        <vertAlign val="subscript"/>
        <sz val="12"/>
        <color indexed="63"/>
        <rFont val="Times New Roman"/>
        <family val="1"/>
      </rPr>
      <t>G</t>
    </r>
    <r>
      <rPr>
        <sz val="12"/>
        <color indexed="63"/>
        <rFont val="Times New Roman"/>
        <family val="1"/>
      </rPr>
      <t xml:space="preserve"> =</t>
    </r>
  </si>
  <si>
    <r>
      <t>Hoạt tải trong phạm vi 3x3 m (kN/m), p</t>
    </r>
    <r>
      <rPr>
        <vertAlign val="subscript"/>
        <sz val="12"/>
        <color indexed="63"/>
        <rFont val="Times New Roman"/>
        <family val="1"/>
      </rPr>
      <t xml:space="preserve">s </t>
    </r>
    <r>
      <rPr>
        <sz val="12"/>
        <color indexed="63"/>
        <rFont val="Times New Roman"/>
        <family val="1"/>
      </rPr>
      <t>=</t>
    </r>
  </si>
  <si>
    <r>
      <t>Giá trị tính toán (kN/m) : p</t>
    </r>
    <r>
      <rPr>
        <vertAlign val="subscript"/>
        <sz val="12"/>
        <color indexed="63"/>
        <rFont val="Times New Roman"/>
        <family val="1"/>
      </rPr>
      <t>tt</t>
    </r>
    <r>
      <rPr>
        <sz val="12"/>
        <color indexed="63"/>
        <rFont val="Times New Roman"/>
        <family val="1"/>
      </rPr>
      <t xml:space="preserve"> = p</t>
    </r>
    <r>
      <rPr>
        <vertAlign val="subscript"/>
        <sz val="12"/>
        <color indexed="63"/>
        <rFont val="Times New Roman"/>
        <family val="1"/>
      </rPr>
      <t>s</t>
    </r>
    <r>
      <rPr>
        <sz val="12"/>
        <color indexed="63"/>
        <rFont val="Times New Roman"/>
        <family val="1"/>
      </rPr>
      <t>*</t>
    </r>
    <r>
      <rPr>
        <sz val="12"/>
        <color indexed="63"/>
        <rFont val="Symbol"/>
        <family val="1"/>
        <charset val="2"/>
      </rPr>
      <t>g</t>
    </r>
    <r>
      <rPr>
        <vertAlign val="subscript"/>
        <sz val="12"/>
        <color indexed="63"/>
        <rFont val="Times New Roman"/>
        <family val="1"/>
      </rPr>
      <t>Q</t>
    </r>
    <r>
      <rPr>
        <sz val="12"/>
        <color indexed="63"/>
        <rFont val="Times New Roman"/>
        <family val="1"/>
      </rPr>
      <t xml:space="preserve"> =</t>
    </r>
  </si>
  <si>
    <r>
      <t>Hoạt tải trong phạm vi còn lại (kN/m), p</t>
    </r>
    <r>
      <rPr>
        <vertAlign val="subscript"/>
        <sz val="12"/>
        <color indexed="63"/>
        <rFont val="Times New Roman"/>
        <family val="1"/>
      </rPr>
      <t>s</t>
    </r>
    <r>
      <rPr>
        <sz val="12"/>
        <color indexed="63"/>
        <rFont val="Times New Roman"/>
        <family val="1"/>
      </rPr>
      <t xml:space="preserve"> =</t>
    </r>
  </si>
  <si>
    <t>b. Kiểm tra khả năng chịu lực</t>
  </si>
  <si>
    <r>
      <t>Sơ đồ tính bản sàn là dầm liên tục 2 nhịp với l</t>
    </r>
    <r>
      <rPr>
        <vertAlign val="subscript"/>
        <sz val="12"/>
        <color indexed="63"/>
        <rFont val="Times New Roman"/>
        <family val="1"/>
      </rPr>
      <t>e</t>
    </r>
    <r>
      <rPr>
        <sz val="12"/>
        <color indexed="63"/>
        <rFont val="Times New Roman"/>
        <family val="1"/>
      </rPr>
      <t xml:space="preserve"> = mm</t>
    </r>
  </si>
  <si>
    <t>Dùng SAP để tính toán mô men, lực cắt, độ võng</t>
  </si>
  <si>
    <t>* Trường hợp 1: Tải trọng đặt trên 1 nhịp</t>
  </si>
  <si>
    <t>Hình 2. Sơ đồ chất tải trường hợp 1</t>
  </si>
  <si>
    <r>
      <t>M</t>
    </r>
    <r>
      <rPr>
        <vertAlign val="subscript"/>
        <sz val="12"/>
        <color indexed="63"/>
        <rFont val="Times New Roman"/>
        <family val="1"/>
      </rPr>
      <t>1</t>
    </r>
    <r>
      <rPr>
        <sz val="12"/>
        <color indexed="63"/>
        <rFont val="Times New Roman"/>
        <family val="1"/>
      </rPr>
      <t xml:space="preserve"> (kNm) =</t>
    </r>
  </si>
  <si>
    <r>
      <t>M</t>
    </r>
    <r>
      <rPr>
        <vertAlign val="subscript"/>
        <sz val="12"/>
        <color indexed="63"/>
        <rFont val="Times New Roman"/>
        <family val="1"/>
      </rPr>
      <t>1-2</t>
    </r>
    <r>
      <rPr>
        <sz val="12"/>
        <color indexed="63"/>
        <rFont val="Times New Roman"/>
        <family val="1"/>
      </rPr>
      <t xml:space="preserve"> (kNm) =</t>
    </r>
  </si>
  <si>
    <r>
      <t>M</t>
    </r>
    <r>
      <rPr>
        <vertAlign val="sub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 xml:space="preserve"> âm (kNm) =</t>
    </r>
  </si>
  <si>
    <r>
      <t>V</t>
    </r>
    <r>
      <rPr>
        <vertAlign val="subscript"/>
        <sz val="12"/>
        <color indexed="63"/>
        <rFont val="Times New Roman"/>
        <family val="1"/>
      </rPr>
      <t>1</t>
    </r>
    <r>
      <rPr>
        <sz val="12"/>
        <color indexed="63"/>
        <rFont val="Times New Roman"/>
        <family val="1"/>
      </rPr>
      <t xml:space="preserve"> (kN) =</t>
    </r>
  </si>
  <si>
    <r>
      <t>V</t>
    </r>
    <r>
      <rPr>
        <vertAlign val="sub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 xml:space="preserve"> (kN) =</t>
    </r>
  </si>
  <si>
    <t>* Trường hợp 2: Tải trọng đặt trên 2 nhịp</t>
  </si>
  <si>
    <t>Hình 3. Sơ đồ chất tải trường hợp 3</t>
  </si>
  <si>
    <r>
      <t>M</t>
    </r>
    <r>
      <rPr>
        <vertAlign val="subscript"/>
        <sz val="13"/>
        <color indexed="63"/>
        <rFont val="Times New Roman"/>
        <family val="1"/>
      </rPr>
      <t>1</t>
    </r>
    <r>
      <rPr>
        <sz val="13"/>
        <color indexed="63"/>
        <rFont val="Times New Roman"/>
        <family val="1"/>
      </rPr>
      <t xml:space="preserve"> (kNm) =</t>
    </r>
  </si>
  <si>
    <r>
      <t>M</t>
    </r>
    <r>
      <rPr>
        <vertAlign val="subscript"/>
        <sz val="13"/>
        <color indexed="63"/>
        <rFont val="Times New Roman"/>
        <family val="1"/>
      </rPr>
      <t>1-2</t>
    </r>
    <r>
      <rPr>
        <sz val="13"/>
        <color indexed="63"/>
        <rFont val="Times New Roman"/>
        <family val="1"/>
      </rPr>
      <t xml:space="preserve"> (kNm) =</t>
    </r>
  </si>
  <si>
    <r>
      <t>M</t>
    </r>
    <r>
      <rPr>
        <vertAlign val="subscript"/>
        <sz val="13"/>
        <color indexed="63"/>
        <rFont val="Times New Roman"/>
        <family val="1"/>
      </rPr>
      <t>2</t>
    </r>
    <r>
      <rPr>
        <sz val="13"/>
        <color indexed="63"/>
        <rFont val="Times New Roman"/>
        <family val="1"/>
      </rPr>
      <t xml:space="preserve"> âm (kNm) =</t>
    </r>
  </si>
  <si>
    <r>
      <t>M</t>
    </r>
    <r>
      <rPr>
        <vertAlign val="subscript"/>
        <sz val="13"/>
        <color indexed="63"/>
        <rFont val="Times New Roman"/>
        <family val="1"/>
      </rPr>
      <t>2-3</t>
    </r>
    <r>
      <rPr>
        <sz val="13"/>
        <color indexed="63"/>
        <rFont val="Times New Roman"/>
        <family val="1"/>
      </rPr>
      <t xml:space="preserve"> (kNm) =</t>
    </r>
  </si>
  <si>
    <r>
      <t>M</t>
    </r>
    <r>
      <rPr>
        <vertAlign val="subscript"/>
        <sz val="13"/>
        <color indexed="63"/>
        <rFont val="Times New Roman"/>
        <family val="1"/>
      </rPr>
      <t xml:space="preserve">3 </t>
    </r>
    <r>
      <rPr>
        <sz val="13"/>
        <color indexed="63"/>
        <rFont val="Times New Roman"/>
        <family val="1"/>
      </rPr>
      <t>(kNm) =</t>
    </r>
  </si>
  <si>
    <r>
      <t>V</t>
    </r>
    <r>
      <rPr>
        <vertAlign val="subscript"/>
        <sz val="13"/>
        <color indexed="63"/>
        <rFont val="Times New Roman"/>
        <family val="1"/>
      </rPr>
      <t>1</t>
    </r>
    <r>
      <rPr>
        <sz val="13"/>
        <color indexed="63"/>
        <rFont val="Times New Roman"/>
        <family val="1"/>
      </rPr>
      <t xml:space="preserve"> (kN) =</t>
    </r>
  </si>
  <si>
    <r>
      <t>V</t>
    </r>
    <r>
      <rPr>
        <vertAlign val="subscript"/>
        <sz val="13"/>
        <color indexed="63"/>
        <rFont val="Times New Roman"/>
        <family val="1"/>
      </rPr>
      <t>2</t>
    </r>
    <r>
      <rPr>
        <sz val="13"/>
        <color indexed="63"/>
        <rFont val="Times New Roman"/>
        <family val="1"/>
      </rPr>
      <t xml:space="preserve"> (kN) =</t>
    </r>
  </si>
  <si>
    <r>
      <t>V</t>
    </r>
    <r>
      <rPr>
        <vertAlign val="subscript"/>
        <sz val="13"/>
        <color indexed="63"/>
        <rFont val="Times New Roman"/>
        <family val="1"/>
      </rPr>
      <t>3</t>
    </r>
    <r>
      <rPr>
        <sz val="13"/>
        <color indexed="63"/>
        <rFont val="Times New Roman"/>
        <family val="1"/>
      </rPr>
      <t xml:space="preserve"> (kN) =</t>
    </r>
  </si>
  <si>
    <t>3. Kiểm tra trạng thái sử dụng</t>
  </si>
  <si>
    <t>a. Tải trọng</t>
  </si>
  <si>
    <t>Chỉ kể đến trọng lượng tấm tôn và bê tông ướt</t>
  </si>
  <si>
    <t>q (kN) =</t>
  </si>
  <si>
    <t>b. Độ võng</t>
  </si>
  <si>
    <t>Trường hợp 1 : tải trọng trên 1 nhịp.</t>
  </si>
  <si>
    <r>
      <t>δ</t>
    </r>
    <r>
      <rPr>
        <vertAlign val="subscript"/>
        <sz val="12"/>
        <color indexed="63"/>
        <rFont val="Times New Roman"/>
        <family val="1"/>
      </rPr>
      <t>max</t>
    </r>
    <r>
      <rPr>
        <sz val="12"/>
        <color indexed="63"/>
        <rFont val="Times New Roman"/>
        <family val="1"/>
      </rPr>
      <t xml:space="preserve"> (m) =</t>
    </r>
  </si>
  <si>
    <t>Trường hợp 2 : tải trọng trên 2 nhịp.</t>
  </si>
  <si>
    <t>III. KIỂM TRA TRONG GIAI ĐOẠN LIÊN HỢP</t>
  </si>
  <si>
    <t>Khoảng cách giữa các dầm phụ, m:</t>
  </si>
  <si>
    <t>Bề dày sàn, mm:</t>
  </si>
  <si>
    <t>1. Tải trọng (đã nhân với bề rộng 1m)</t>
  </si>
  <si>
    <r>
      <t>Trọng lượng của sàn g</t>
    </r>
    <r>
      <rPr>
        <vertAlign val="subscript"/>
        <sz val="12"/>
        <color indexed="63"/>
        <rFont val="Times New Roman"/>
        <family val="1"/>
      </rPr>
      <t>1</t>
    </r>
    <r>
      <rPr>
        <sz val="12"/>
        <color indexed="63"/>
        <rFont val="Times New Roman"/>
        <family val="1"/>
      </rPr>
      <t xml:space="preserve"> (kN/m</t>
    </r>
    <r>
      <rPr>
        <sz val="12"/>
        <color indexed="63"/>
        <rFont val="Times New Roman"/>
        <family val="1"/>
      </rPr>
      <t>) =</t>
    </r>
  </si>
  <si>
    <r>
      <t>Trọng lượng lớp hoàn thiện g</t>
    </r>
    <r>
      <rPr>
        <vertAlign val="sub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 xml:space="preserve"> (kN/m</t>
    </r>
    <r>
      <rPr>
        <sz val="12"/>
        <color indexed="63"/>
        <rFont val="Times New Roman"/>
        <family val="1"/>
      </rPr>
      <t>) =</t>
    </r>
  </si>
  <si>
    <r>
      <t>Trọng lượng trần và đường ống treo g</t>
    </r>
    <r>
      <rPr>
        <vertAlign val="subscript"/>
        <sz val="12"/>
        <color indexed="63"/>
        <rFont val="Times New Roman"/>
        <family val="1"/>
      </rPr>
      <t>3</t>
    </r>
    <r>
      <rPr>
        <sz val="12"/>
        <color indexed="63"/>
        <rFont val="Times New Roman"/>
        <family val="1"/>
      </rPr>
      <t xml:space="preserve"> (kN/m</t>
    </r>
    <r>
      <rPr>
        <sz val="12"/>
        <color indexed="63"/>
        <rFont val="Times New Roman"/>
        <family val="1"/>
      </rPr>
      <t>) =</t>
    </r>
  </si>
  <si>
    <r>
      <t>Tải tường phân bố trên sàn g</t>
    </r>
    <r>
      <rPr>
        <vertAlign val="subscript"/>
        <sz val="12"/>
        <color indexed="63"/>
        <rFont val="Times New Roman"/>
        <family val="1"/>
      </rPr>
      <t>4</t>
    </r>
    <r>
      <rPr>
        <sz val="12"/>
        <color indexed="63"/>
        <rFont val="Times New Roman"/>
        <family val="1"/>
      </rPr>
      <t>(kN/m) =</t>
    </r>
  </si>
  <si>
    <r>
      <t>Tổng tĩnh tải (kN/m) : g = g</t>
    </r>
    <r>
      <rPr>
        <vertAlign val="subscript"/>
        <sz val="12"/>
        <color indexed="63"/>
        <rFont val="Times New Roman"/>
        <family val="1"/>
      </rPr>
      <t>1</t>
    </r>
    <r>
      <rPr>
        <sz val="12"/>
        <color indexed="63"/>
        <rFont val="Times New Roman"/>
        <family val="1"/>
      </rPr>
      <t xml:space="preserve"> + g</t>
    </r>
    <r>
      <rPr>
        <vertAlign val="sub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 xml:space="preserve"> + g</t>
    </r>
    <r>
      <rPr>
        <vertAlign val="subscript"/>
        <sz val="12"/>
        <color indexed="63"/>
        <rFont val="Times New Roman"/>
        <family val="1"/>
      </rPr>
      <t>3</t>
    </r>
    <r>
      <rPr>
        <sz val="12"/>
        <color indexed="63"/>
        <rFont val="Times New Roman"/>
        <family val="1"/>
      </rPr>
      <t xml:space="preserve"> + g</t>
    </r>
    <r>
      <rPr>
        <vertAlign val="subscript"/>
        <sz val="12"/>
        <color indexed="63"/>
        <rFont val="Times New Roman"/>
        <family val="1"/>
      </rPr>
      <t>4</t>
    </r>
    <r>
      <rPr>
        <sz val="12"/>
        <color indexed="63"/>
        <rFont val="Times New Roman"/>
        <family val="1"/>
      </rPr>
      <t xml:space="preserve"> =</t>
    </r>
  </si>
  <si>
    <r>
      <t>Tổng tĩnh tải tính toán (kN/m) : g</t>
    </r>
    <r>
      <rPr>
        <vertAlign val="subscript"/>
        <sz val="12"/>
        <color indexed="63"/>
        <rFont val="Times New Roman"/>
        <family val="1"/>
      </rPr>
      <t>tt</t>
    </r>
    <r>
      <rPr>
        <sz val="12"/>
        <color indexed="63"/>
        <rFont val="Times New Roman"/>
        <family val="1"/>
      </rPr>
      <t xml:space="preserve"> = g</t>
    </r>
    <r>
      <rPr>
        <vertAlign val="subscript"/>
        <sz val="12"/>
        <color indexed="63"/>
        <rFont val="Times New Roman"/>
        <family val="1"/>
      </rPr>
      <t>*</t>
    </r>
    <r>
      <rPr>
        <sz val="12"/>
        <color indexed="63"/>
        <rFont val="Symbol"/>
        <family val="1"/>
        <charset val="2"/>
      </rPr>
      <t>g</t>
    </r>
    <r>
      <rPr>
        <vertAlign val="subscript"/>
        <sz val="12"/>
        <color indexed="63"/>
        <rFont val="Symbol"/>
        <family val="1"/>
        <charset val="2"/>
      </rPr>
      <t>G =</t>
    </r>
  </si>
  <si>
    <t xml:space="preserve">Hoạt tải, kN/m : Ps = </t>
  </si>
  <si>
    <r>
      <t>Hoạt tải tính toán (kN/m) : p</t>
    </r>
    <r>
      <rPr>
        <vertAlign val="subscript"/>
        <sz val="12"/>
        <color indexed="63"/>
        <rFont val="Times New Roman"/>
        <family val="1"/>
      </rPr>
      <t>tt</t>
    </r>
    <r>
      <rPr>
        <sz val="12"/>
        <color indexed="63"/>
        <rFont val="Times New Roman"/>
        <family val="1"/>
      </rPr>
      <t xml:space="preserve"> = p</t>
    </r>
    <r>
      <rPr>
        <vertAlign val="subscript"/>
        <sz val="12"/>
        <color indexed="63"/>
        <rFont val="Times New Roman"/>
        <family val="1"/>
      </rPr>
      <t>s*</t>
    </r>
    <r>
      <rPr>
        <sz val="12"/>
        <color indexed="63"/>
        <rFont val="Symbol"/>
        <family val="1"/>
        <charset val="2"/>
      </rPr>
      <t>g</t>
    </r>
    <r>
      <rPr>
        <vertAlign val="subscript"/>
        <sz val="12"/>
        <color indexed="63"/>
        <rFont val="Symbol"/>
        <family val="1"/>
        <charset val="2"/>
      </rPr>
      <t>Q =</t>
    </r>
  </si>
  <si>
    <t>2. Kiểm tra khả năng chịu tải của mô men dương:</t>
  </si>
  <si>
    <r>
      <t>Lực kéo trong tấm tôn (kN), N</t>
    </r>
    <r>
      <rPr>
        <vertAlign val="subscript"/>
        <sz val="12"/>
        <color indexed="63"/>
        <rFont val="Times New Roman"/>
        <family val="1"/>
      </rPr>
      <t>p</t>
    </r>
    <r>
      <rPr>
        <sz val="12"/>
        <color indexed="63"/>
        <rFont val="Times New Roman"/>
        <family val="1"/>
      </rPr>
      <t xml:space="preserve"> =</t>
    </r>
  </si>
  <si>
    <r>
      <t>Chiều cao vùng bê tông chịu nén x</t>
    </r>
    <r>
      <rPr>
        <vertAlign val="subscript"/>
        <sz val="12"/>
        <color indexed="63"/>
        <rFont val="Times New Roman"/>
        <family val="1"/>
      </rPr>
      <t>pl</t>
    </r>
    <r>
      <rPr>
        <sz val="12"/>
        <color indexed="63"/>
        <rFont val="Times New Roman"/>
        <family val="1"/>
      </rPr>
      <t xml:space="preserve"> (mm) =</t>
    </r>
  </si>
  <si>
    <t>hc =</t>
  </si>
  <si>
    <r>
      <t>Khả năng chịu M dương của tiết diện M</t>
    </r>
    <r>
      <rPr>
        <b/>
        <vertAlign val="subscript"/>
        <sz val="12"/>
        <color indexed="10"/>
        <rFont val="Times New Roman"/>
        <family val="1"/>
      </rPr>
      <t>Rd</t>
    </r>
    <r>
      <rPr>
        <b/>
        <vertAlign val="superscript"/>
        <sz val="12"/>
        <color indexed="10"/>
        <rFont val="Times New Roman"/>
        <family val="1"/>
      </rPr>
      <t>+</t>
    </r>
    <r>
      <rPr>
        <b/>
        <sz val="12"/>
        <color indexed="10"/>
        <rFont val="Times New Roman"/>
        <family val="1"/>
      </rPr>
      <t xml:space="preserve"> (kNm) = </t>
    </r>
  </si>
  <si>
    <r>
      <t>Giá trị M dương do tải trọng gây ra M</t>
    </r>
    <r>
      <rPr>
        <vertAlign val="subscript"/>
        <sz val="12"/>
        <color indexed="63"/>
        <rFont val="Times New Roman"/>
        <family val="1"/>
      </rPr>
      <t>Sd</t>
    </r>
    <r>
      <rPr>
        <vertAlign val="superscript"/>
        <sz val="12"/>
        <color indexed="63"/>
        <rFont val="Times New Roman"/>
        <family val="1"/>
      </rPr>
      <t xml:space="preserve">+ </t>
    </r>
    <r>
      <rPr>
        <sz val="12"/>
        <color indexed="63"/>
        <rFont val="Times New Roman"/>
        <family val="1"/>
      </rPr>
      <t>(kNm)</t>
    </r>
  </si>
  <si>
    <t>®</t>
  </si>
  <si>
    <t>(Lấy trong SAP)</t>
  </si>
  <si>
    <t>3. Kiểm tra khả năng chịu tải của mô men âm:</t>
  </si>
  <si>
    <r>
      <t>Bố trí cốt thép chịu M âm ϕ10 a150 CIII có f</t>
    </r>
    <r>
      <rPr>
        <vertAlign val="subscript"/>
        <sz val="12"/>
        <rFont val="Times New Roman"/>
        <family val="1"/>
      </rPr>
      <t>sk</t>
    </r>
    <r>
      <rPr>
        <sz val="12"/>
        <rFont val="Times New Roman"/>
        <family val="1"/>
      </rPr>
      <t xml:space="preserve"> (N/mm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) =</t>
    </r>
  </si>
  <si>
    <r>
      <t>Diện tích cốt thép A</t>
    </r>
    <r>
      <rPr>
        <vertAlign val="subscript"/>
        <sz val="12"/>
        <color indexed="63"/>
        <rFont val="Times New Roman"/>
        <family val="1"/>
      </rPr>
      <t>s</t>
    </r>
    <r>
      <rPr>
        <sz val="12"/>
        <color indexed="63"/>
        <rFont val="Times New Roman"/>
        <family val="1"/>
      </rPr>
      <t xml:space="preserve"> (mm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</si>
  <si>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r>
      <t>Khả năng chịu lực của cốt thép N</t>
    </r>
    <r>
      <rPr>
        <vertAlign val="subscript"/>
        <sz val="12"/>
        <color indexed="63"/>
        <rFont val="Times New Roman"/>
        <family val="1"/>
      </rPr>
      <t>s</t>
    </r>
    <r>
      <rPr>
        <sz val="12"/>
        <color indexed="63"/>
        <rFont val="Times New Roman"/>
        <family val="1"/>
      </rPr>
      <t xml:space="preserve"> (kN) =</t>
    </r>
  </si>
  <si>
    <r>
      <t>Bề rộng trung bình của sườn bê tông b</t>
    </r>
    <r>
      <rPr>
        <vertAlign val="subscript"/>
        <sz val="12"/>
        <color indexed="63"/>
        <rFont val="Times New Roman"/>
        <family val="1"/>
      </rPr>
      <t>c</t>
    </r>
    <r>
      <rPr>
        <sz val="12"/>
        <color indexed="63"/>
        <rFont val="Times New Roman"/>
        <family val="1"/>
      </rPr>
      <t xml:space="preserve"> (mm) = </t>
    </r>
  </si>
  <si>
    <t>(có 4 sườn trong 1m)</t>
  </si>
  <si>
    <t>Bề dày lớp bê tông bảo vệ a (mm) =</t>
  </si>
  <si>
    <t xml:space="preserve">Cánh tay đòn z (mm) = </t>
  </si>
  <si>
    <r>
      <t>Khả năng chịu M âm của tiết diện M</t>
    </r>
    <r>
      <rPr>
        <b/>
        <vertAlign val="subscript"/>
        <sz val="12"/>
        <color indexed="10"/>
        <rFont val="Times New Roman"/>
        <family val="1"/>
      </rPr>
      <t>Rd</t>
    </r>
    <r>
      <rPr>
        <b/>
        <vertAlign val="superscript"/>
        <sz val="12"/>
        <color indexed="10"/>
        <rFont val="Times New Roman"/>
        <family val="1"/>
      </rPr>
      <t>-</t>
    </r>
    <r>
      <rPr>
        <b/>
        <sz val="12"/>
        <color indexed="10"/>
        <rFont val="Times New Roman"/>
        <family val="1"/>
      </rPr>
      <t xml:space="preserve"> (kNm) = </t>
    </r>
  </si>
  <si>
    <r>
      <t>Giá trị M âm do tải trọng gây ra M</t>
    </r>
    <r>
      <rPr>
        <vertAlign val="subscript"/>
        <sz val="12"/>
        <color indexed="63"/>
        <rFont val="Times New Roman"/>
        <family val="1"/>
      </rPr>
      <t>Sd</t>
    </r>
    <r>
      <rPr>
        <vertAlign val="superscript"/>
        <sz val="12"/>
        <color indexed="63"/>
        <rFont val="Times New Roman"/>
        <family val="1"/>
      </rPr>
      <t xml:space="preserve">- </t>
    </r>
    <r>
      <rPr>
        <sz val="12"/>
        <color indexed="63"/>
        <rFont val="Times New Roman"/>
        <family val="1"/>
      </rPr>
      <t>(kNm)</t>
    </r>
  </si>
  <si>
    <t>4. Kiểm tra khả năng chịu cắt dọc</t>
  </si>
  <si>
    <t>Sử dụng phương pháp m-k</t>
  </si>
  <si>
    <t xml:space="preserve">Chiều dài đoạn chịu cắt Ls (m) = </t>
  </si>
  <si>
    <r>
      <t>(Theo Eurocode 4 L</t>
    </r>
    <r>
      <rPr>
        <i/>
        <vertAlign val="subscript"/>
        <sz val="12"/>
        <color indexed="63"/>
        <rFont val="Times New Roman"/>
        <family val="1"/>
      </rPr>
      <t>s</t>
    </r>
    <r>
      <rPr>
        <i/>
        <sz val="12"/>
        <color indexed="63"/>
        <rFont val="Times New Roman"/>
        <family val="1"/>
      </rPr>
      <t xml:space="preserve"> = L/4 với L=0,9L</t>
    </r>
    <r>
      <rPr>
        <i/>
        <vertAlign val="subscript"/>
        <sz val="12"/>
        <color indexed="63"/>
        <rFont val="Times New Roman"/>
        <family val="1"/>
      </rPr>
      <t>e</t>
    </r>
    <r>
      <rPr>
        <i/>
        <sz val="12"/>
        <color indexed="63"/>
        <rFont val="Times New Roman"/>
        <family val="1"/>
      </rPr>
      <t>)</t>
    </r>
  </si>
  <si>
    <r>
      <t>Khả năng chịu cắt dọc V</t>
    </r>
    <r>
      <rPr>
        <b/>
        <vertAlign val="subscript"/>
        <sz val="12"/>
        <color indexed="10"/>
        <rFont val="Times New Roman"/>
        <family val="1"/>
      </rPr>
      <t>L,Rd</t>
    </r>
    <r>
      <rPr>
        <b/>
        <sz val="12"/>
        <color indexed="10"/>
        <rFont val="Times New Roman"/>
        <family val="1"/>
      </rPr>
      <t xml:space="preserve"> (kN) =</t>
    </r>
  </si>
  <si>
    <r>
      <t>Giá trị lực cắt do tải trọng gây ra V</t>
    </r>
    <r>
      <rPr>
        <vertAlign val="subscript"/>
        <sz val="13"/>
        <color indexed="63"/>
        <rFont val="Times New Roman"/>
        <family val="1"/>
      </rPr>
      <t>Sd</t>
    </r>
    <r>
      <rPr>
        <sz val="13"/>
        <color indexed="63"/>
        <rFont val="Times New Roman"/>
        <family val="1"/>
      </rPr>
      <t xml:space="preserve"> (kN) =</t>
    </r>
  </si>
  <si>
    <t>5. Kiểm tra khả năng chịu cắt đứng</t>
  </si>
  <si>
    <r>
      <t>Bề rộng trung bình của sườn bê tông b</t>
    </r>
    <r>
      <rPr>
        <vertAlign val="subscript"/>
        <sz val="12"/>
        <color indexed="63"/>
        <rFont val="Times New Roman"/>
        <family val="1"/>
      </rPr>
      <t>0</t>
    </r>
    <r>
      <rPr>
        <sz val="12"/>
        <color indexed="63"/>
        <rFont val="Times New Roman"/>
        <family val="1"/>
      </rPr>
      <t xml:space="preserve"> (mm) = </t>
    </r>
  </si>
  <si>
    <r>
      <t>Cường độ chịu cắt τ</t>
    </r>
    <r>
      <rPr>
        <vertAlign val="subscript"/>
        <sz val="12"/>
        <color indexed="63"/>
        <rFont val="Times New Roman"/>
        <family val="1"/>
      </rPr>
      <t>Rd</t>
    </r>
    <r>
      <rPr>
        <sz val="12"/>
        <color indexed="63"/>
        <rFont val="Times New Roman"/>
        <family val="1"/>
      </rPr>
      <t xml:space="preserve"> (N/mm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 0,25f</t>
    </r>
    <r>
      <rPr>
        <vertAlign val="subscript"/>
        <sz val="12"/>
        <color indexed="63"/>
        <rFont val="Times New Roman"/>
        <family val="1"/>
      </rPr>
      <t>ck</t>
    </r>
    <r>
      <rPr>
        <sz val="12"/>
        <color indexed="63"/>
        <rFont val="Times New Roman"/>
        <family val="1"/>
      </rPr>
      <t>/γ</t>
    </r>
    <r>
      <rPr>
        <vertAlign val="subscript"/>
        <sz val="12"/>
        <color indexed="63"/>
        <rFont val="Times New Roman"/>
        <family val="1"/>
      </rPr>
      <t>c</t>
    </r>
    <r>
      <rPr>
        <sz val="12"/>
        <color indexed="63"/>
        <rFont val="Times New Roman"/>
        <family val="1"/>
      </rPr>
      <t xml:space="preserve"> =</t>
    </r>
  </si>
  <si>
    <r>
      <t>k</t>
    </r>
    <r>
      <rPr>
        <vertAlign val="subscript"/>
        <sz val="12"/>
        <color indexed="63"/>
        <rFont val="Times New Roman"/>
        <family val="1"/>
      </rPr>
      <t>1</t>
    </r>
    <r>
      <rPr>
        <sz val="12"/>
        <color indexed="63"/>
        <rFont val="Times New Roman"/>
        <family val="1"/>
      </rPr>
      <t xml:space="preserve"> = </t>
    </r>
  </si>
  <si>
    <r>
      <t>Tại vị trí gối tựa biên, A</t>
    </r>
    <r>
      <rPr>
        <vertAlign val="subscript"/>
        <sz val="12"/>
        <color indexed="63"/>
        <rFont val="Times New Roman"/>
        <family val="1"/>
      </rPr>
      <t>p</t>
    </r>
    <r>
      <rPr>
        <sz val="12"/>
        <color indexed="63"/>
        <rFont val="Times New Roman"/>
        <family val="1"/>
      </rPr>
      <t xml:space="preserve"> (mm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)=</t>
    </r>
  </si>
  <si>
    <r>
      <t>(A</t>
    </r>
    <r>
      <rPr>
        <i/>
        <vertAlign val="subscript"/>
        <sz val="12"/>
        <color indexed="63"/>
        <rFont val="Times New Roman"/>
        <family val="1"/>
      </rPr>
      <t>p</t>
    </r>
    <r>
      <rPr>
        <i/>
        <sz val="12"/>
        <color indexed="63"/>
        <rFont val="Times New Roman"/>
        <family val="1"/>
      </rPr>
      <t xml:space="preserve"> : diện tích hữu hiệu tôn thép chịu kéo nằm trong bề rộng b</t>
    </r>
    <r>
      <rPr>
        <i/>
        <vertAlign val="subscript"/>
        <sz val="12"/>
        <color indexed="63"/>
        <rFont val="Times New Roman"/>
        <family val="1"/>
      </rPr>
      <t>0</t>
    </r>
    <r>
      <rPr>
        <i/>
        <sz val="12"/>
        <color indexed="63"/>
        <rFont val="Times New Roman"/>
        <family val="1"/>
      </rPr>
      <t>)</t>
    </r>
  </si>
  <si>
    <t>ρ =</t>
  </si>
  <si>
    <r>
      <t>k</t>
    </r>
    <r>
      <rPr>
        <vertAlign val="sub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 xml:space="preserve"> = </t>
    </r>
  </si>
  <si>
    <r>
      <t>Khả năng chịu cắt tại vị trí gối tựa biên, V</t>
    </r>
    <r>
      <rPr>
        <b/>
        <vertAlign val="subscript"/>
        <sz val="12"/>
        <color indexed="10"/>
        <rFont val="Times New Roman"/>
        <family val="1"/>
      </rPr>
      <t>v,Rd</t>
    </r>
    <r>
      <rPr>
        <b/>
        <sz val="12"/>
        <color indexed="10"/>
        <rFont val="Times New Roman"/>
        <family val="1"/>
      </rPr>
      <t xml:space="preserve"> (kN) =</t>
    </r>
  </si>
  <si>
    <r>
      <t>Giá trị lực cắt do tải trọng gây ra tại gối biên V</t>
    </r>
    <r>
      <rPr>
        <vertAlign val="subscript"/>
        <sz val="12"/>
        <color indexed="63"/>
        <rFont val="Times New Roman"/>
        <family val="1"/>
      </rPr>
      <t>Sd</t>
    </r>
    <r>
      <rPr>
        <sz val="12"/>
        <color indexed="63"/>
        <rFont val="Times New Roman"/>
        <family val="1"/>
      </rPr>
      <t xml:space="preserve"> (kN) =</t>
    </r>
  </si>
  <si>
    <t>IV. KIỂM TRA TRONG GIAI ĐOẠN SỬ DỤNG</t>
  </si>
  <si>
    <r>
      <t>Trọng lượng của sàn g</t>
    </r>
    <r>
      <rPr>
        <vertAlign val="subscript"/>
        <sz val="12"/>
        <color indexed="63"/>
        <rFont val="Times New Roman"/>
        <family val="1"/>
      </rPr>
      <t>1</t>
    </r>
    <r>
      <rPr>
        <sz val="12"/>
        <color indexed="63"/>
        <rFont val="Times New Roman"/>
        <family val="1"/>
      </rPr>
      <t xml:space="preserve"> (kN/m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</si>
  <si>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r>
      <t>Trọng lượng lớp hoàn thiện g</t>
    </r>
    <r>
      <rPr>
        <vertAlign val="sub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 xml:space="preserve"> (kN/m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</si>
  <si>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r>
      <t>Trọng lượng trần và đường ống treo g</t>
    </r>
    <r>
      <rPr>
        <vertAlign val="subscript"/>
        <sz val="12"/>
        <color indexed="63"/>
        <rFont val="Times New Roman"/>
        <family val="1"/>
      </rPr>
      <t>3</t>
    </r>
    <r>
      <rPr>
        <sz val="12"/>
        <color indexed="63"/>
        <rFont val="Times New Roman"/>
        <family val="1"/>
      </rPr>
      <t xml:space="preserve"> (kN/m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</si>
  <si>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r>
      <t>Hoạt tải q (kN/m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) =</t>
    </r>
  </si>
  <si>
    <t>2. Độ võng</t>
  </si>
  <si>
    <t xml:space="preserve">Hệ số tính đổi n = </t>
  </si>
  <si>
    <t>Mômen quán tính tiết diện nứt</t>
  </si>
  <si>
    <r>
      <t>Khoảng cách giữa trọng tâm đến mặt trên của sàn x</t>
    </r>
    <r>
      <rPr>
        <vertAlign val="subscript"/>
        <sz val="12"/>
        <color indexed="63"/>
        <rFont val="Times New Roman"/>
        <family val="1"/>
      </rPr>
      <t>c</t>
    </r>
    <r>
      <rPr>
        <sz val="12"/>
        <color indexed="63"/>
        <rFont val="Times New Roman"/>
        <family val="1"/>
      </rPr>
      <t xml:space="preserve"> (mm) =</t>
    </r>
  </si>
  <si>
    <r>
      <t>Mômen quán tính I</t>
    </r>
    <r>
      <rPr>
        <vertAlign val="subscript"/>
        <sz val="12"/>
        <color indexed="63"/>
        <rFont val="Times New Roman"/>
        <family val="1"/>
      </rPr>
      <t>cc</t>
    </r>
    <r>
      <rPr>
        <sz val="12"/>
        <color indexed="63"/>
        <rFont val="Times New Roman"/>
        <family val="1"/>
      </rPr>
      <t xml:space="preserve"> (mm</t>
    </r>
    <r>
      <rPr>
        <vertAlign val="superscript"/>
        <sz val="12"/>
        <color indexed="63"/>
        <rFont val="Times New Roman"/>
        <family val="1"/>
      </rPr>
      <t>4</t>
    </r>
    <r>
      <rPr>
        <sz val="12"/>
        <color indexed="63"/>
        <rFont val="Times New Roman"/>
        <family val="1"/>
      </rPr>
      <t>) =</t>
    </r>
  </si>
  <si>
    <t>Mômen quán tính tiết diện không nứt</t>
  </si>
  <si>
    <r>
      <t>Khoảng cách giữa trọng tâm đến mặt trên của sàn x</t>
    </r>
    <r>
      <rPr>
        <vertAlign val="subscript"/>
        <sz val="12"/>
        <color indexed="63"/>
        <rFont val="Times New Roman"/>
        <family val="1"/>
      </rPr>
      <t>u</t>
    </r>
    <r>
      <rPr>
        <sz val="12"/>
        <color indexed="63"/>
        <rFont val="Times New Roman"/>
        <family val="1"/>
      </rPr>
      <t xml:space="preserve"> (mm) =</t>
    </r>
  </si>
  <si>
    <r>
      <t>Mômen quán tính I</t>
    </r>
    <r>
      <rPr>
        <vertAlign val="subscript"/>
        <sz val="12"/>
        <color indexed="63"/>
        <rFont val="Times New Roman"/>
        <family val="1"/>
      </rPr>
      <t>cu</t>
    </r>
    <r>
      <rPr>
        <sz val="12"/>
        <color indexed="63"/>
        <rFont val="Times New Roman"/>
        <family val="1"/>
      </rPr>
      <t xml:space="preserve"> (mm</t>
    </r>
    <r>
      <rPr>
        <vertAlign val="superscript"/>
        <sz val="12"/>
        <color indexed="63"/>
        <rFont val="Times New Roman"/>
        <family val="1"/>
      </rPr>
      <t>4</t>
    </r>
    <r>
      <rPr>
        <sz val="12"/>
        <color indexed="63"/>
        <rFont val="Times New Roman"/>
        <family val="1"/>
      </rPr>
      <t>) =</t>
    </r>
  </si>
  <si>
    <r>
      <t>Mômen quán tính trung bình I</t>
    </r>
    <r>
      <rPr>
        <b/>
        <i/>
        <vertAlign val="subscript"/>
        <sz val="12"/>
        <color indexed="63"/>
        <rFont val="Times New Roman"/>
        <family val="1"/>
      </rPr>
      <t>m</t>
    </r>
    <r>
      <rPr>
        <b/>
        <i/>
        <sz val="12"/>
        <color indexed="63"/>
        <rFont val="Times New Roman"/>
        <family val="1"/>
      </rPr>
      <t xml:space="preserve"> (mm</t>
    </r>
    <r>
      <rPr>
        <b/>
        <i/>
        <vertAlign val="superscript"/>
        <sz val="12"/>
        <color indexed="63"/>
        <rFont val="Times New Roman"/>
        <family val="1"/>
      </rPr>
      <t>4</t>
    </r>
    <r>
      <rPr>
        <b/>
        <i/>
        <sz val="12"/>
        <color indexed="63"/>
        <rFont val="Times New Roman"/>
        <family val="1"/>
      </rPr>
      <t>) =</t>
    </r>
  </si>
  <si>
    <r>
      <t>δ</t>
    </r>
    <r>
      <rPr>
        <vertAlign val="subscript"/>
        <sz val="12"/>
        <color indexed="63"/>
        <rFont val="Times New Roman"/>
        <family val="1"/>
      </rPr>
      <t>max</t>
    </r>
    <r>
      <rPr>
        <sz val="12"/>
        <color indexed="63"/>
        <rFont val="Times New Roman"/>
        <family val="1"/>
      </rPr>
      <t xml:space="preserve"> (mm) =</t>
    </r>
  </si>
  <si>
    <r>
      <t>L</t>
    </r>
    <r>
      <rPr>
        <vertAlign val="subscript"/>
        <sz val="12"/>
        <color indexed="63"/>
        <rFont val="Times New Roman"/>
        <family val="1"/>
      </rPr>
      <t>c</t>
    </r>
    <r>
      <rPr>
        <sz val="12"/>
        <color indexed="63"/>
        <rFont val="Times New Roman"/>
        <family val="1"/>
      </rPr>
      <t xml:space="preserve">/250 = </t>
    </r>
  </si>
  <si>
    <t>3. Nứt bê tông</t>
  </si>
  <si>
    <t>Để đảm bảo tính liên tục và vết nứt bê tông tại vị trí có mômen âm thì tiêu chuẩn qui định hàm lượng cốt thép tối thiểu phải đạt 0,2% diện tích bê tông phía trên tấm tôn</t>
  </si>
  <si>
    <r>
      <t>Diện tích cốt thép tối thiểu A</t>
    </r>
    <r>
      <rPr>
        <vertAlign val="subscript"/>
        <sz val="12"/>
        <color indexed="63"/>
        <rFont val="Times New Roman"/>
        <family val="1"/>
      </rPr>
      <t>s</t>
    </r>
    <r>
      <rPr>
        <sz val="12"/>
        <color indexed="63"/>
        <rFont val="Times New Roman"/>
        <family val="1"/>
      </rPr>
      <t xml:space="preserve"> (mm</t>
    </r>
    <r>
      <rPr>
        <vertAlign val="superscript"/>
        <sz val="12"/>
        <color indexed="63"/>
        <rFont val="Times New Roman"/>
        <family val="1"/>
      </rPr>
      <t>2</t>
    </r>
    <r>
      <rPr>
        <sz val="12"/>
        <color indexed="63"/>
        <rFont val="Times New Roman"/>
        <family val="1"/>
      </rPr>
      <t>/m)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</si>
</sst>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color indexed="63"/>
      <name val="Times New Roman"/>
      <family val="1"/>
    </font>
    <font>
      <sz val="12"/>
      <color indexed="63"/>
      <name val="Times New Roman"/>
      <family val="1"/>
    </font>
    <font>
      <b/>
      <i/>
      <sz val="12"/>
      <color indexed="63"/>
      <name val="Times New Roman"/>
      <family val="1"/>
    </font>
    <font>
      <vertAlign val="subscript"/>
      <sz val="12"/>
      <color indexed="63"/>
      <name val="Times New Roman"/>
      <family val="1"/>
    </font>
    <font>
      <vertAlign val="superscript"/>
      <sz val="12"/>
      <color indexed="63"/>
      <name val="Times New Roman"/>
      <family val="1"/>
    </font>
    <font>
      <b/>
      <i/>
      <sz val="12"/>
      <color indexed="8"/>
      <name val="Times New Roman"/>
      <family val="1"/>
    </font>
    <font>
      <sz val="13"/>
      <color indexed="63"/>
      <name val="Times New Roman"/>
      <family val="1"/>
    </font>
    <font>
      <sz val="12"/>
      <name val="Times New Roman"/>
      <family val="1"/>
    </font>
    <font>
      <vertAlign val="subscript"/>
      <sz val="12"/>
      <name val="Times New Roman"/>
      <family val="1"/>
    </font>
    <font>
      <i/>
      <sz val="12"/>
      <color indexed="63"/>
      <name val="Times New Roman"/>
      <family val="1"/>
    </font>
    <font>
      <sz val="12"/>
      <color indexed="63"/>
      <name val="Symbol"/>
      <family val="1"/>
      <charset val="2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vertAlign val="subscript"/>
      <sz val="13"/>
      <color indexed="6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3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vertAlign val="subscript"/>
      <sz val="12"/>
      <color indexed="63"/>
      <name val="Symbol"/>
      <family val="1"/>
      <charset val="2"/>
    </font>
    <font>
      <b/>
      <vertAlign val="subscript"/>
      <sz val="12"/>
      <color indexed="10"/>
      <name val="Times New Roman"/>
      <family val="1"/>
    </font>
    <font>
      <b/>
      <vertAlign val="superscript"/>
      <sz val="12"/>
      <color indexed="10"/>
      <name val="Times New Roman"/>
      <family val="1"/>
    </font>
    <font>
      <vertAlign val="superscript"/>
      <sz val="12"/>
      <name val="Times New Roman"/>
      <family val="1"/>
    </font>
    <font>
      <i/>
      <vertAlign val="subscript"/>
      <sz val="12"/>
      <color indexed="63"/>
      <name val="Times New Roman"/>
      <family val="1"/>
    </font>
    <font>
      <b/>
      <i/>
      <vertAlign val="subscript"/>
      <sz val="12"/>
      <color indexed="63"/>
      <name val="Times New Roman"/>
      <family val="1"/>
    </font>
    <font>
      <b/>
      <i/>
      <vertAlign val="superscript"/>
      <sz val="12"/>
      <color indexed="63"/>
      <name val="Times New Roman"/>
      <family val="1"/>
    </font>
    <font>
      <b/>
      <sz val="8"/>
      <color indexed="81"/>
      <name val="Tahoma"/>
    </font>
    <font>
      <sz val="8"/>
      <color indexed="81"/>
      <name val="Tahoma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/>
    <xf numFmtId="0" fontId="3" fillId="0" borderId="0" xfId="1" applyFont="1"/>
    <xf numFmtId="0" fontId="4" fillId="0" borderId="0" xfId="1" applyFont="1"/>
    <xf numFmtId="0" fontId="2" fillId="0" borderId="0" xfId="1" applyFont="1"/>
    <xf numFmtId="0" fontId="4" fillId="0" borderId="0" xfId="1" applyFont="1" applyAlignment="1">
      <alignment horizontal="right"/>
    </xf>
    <xf numFmtId="0" fontId="3" fillId="0" borderId="1" xfId="1" applyFont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/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11" fillId="0" borderId="0" xfId="1" applyFont="1"/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2" borderId="0" xfId="1" applyFont="1" applyFill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164" fontId="13" fillId="0" borderId="0" xfId="1" applyNumberFormat="1" applyFont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13" fillId="0" borderId="1" xfId="1" applyFont="1" applyBorder="1" applyAlignment="1">
      <alignment horizontal="left" vertical="center"/>
    </xf>
    <xf numFmtId="0" fontId="12" fillId="0" borderId="0" xfId="1" applyFont="1" applyAlignment="1">
      <alignment horizontal="center"/>
    </xf>
    <xf numFmtId="0" fontId="9" fillId="0" borderId="1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2" fontId="3" fillId="0" borderId="0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1" fontId="3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4</xdr:row>
      <xdr:rowOff>95250</xdr:rowOff>
    </xdr:from>
    <xdr:to>
      <xdr:col>3</xdr:col>
      <xdr:colOff>66675</xdr:colOff>
      <xdr:row>12</xdr:row>
      <xdr:rowOff>152400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95350"/>
          <a:ext cx="50387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114</xdr:row>
      <xdr:rowOff>19050</xdr:rowOff>
    </xdr:from>
    <xdr:to>
      <xdr:col>2</xdr:col>
      <xdr:colOff>704850</xdr:colOff>
      <xdr:row>120</xdr:row>
      <xdr:rowOff>57150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936450"/>
          <a:ext cx="48387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133</xdr:row>
      <xdr:rowOff>0</xdr:rowOff>
    </xdr:from>
    <xdr:to>
      <xdr:col>3</xdr:col>
      <xdr:colOff>38100</xdr:colOff>
      <xdr:row>141</xdr:row>
      <xdr:rowOff>38100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908375"/>
          <a:ext cx="48482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28575</xdr:rowOff>
    </xdr:from>
    <xdr:to>
      <xdr:col>2</xdr:col>
      <xdr:colOff>714375</xdr:colOff>
      <xdr:row>49</xdr:row>
      <xdr:rowOff>85725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77350"/>
          <a:ext cx="50387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7"/>
  <sheetViews>
    <sheetView tabSelected="1" workbookViewId="0">
      <selection activeCell="E60" sqref="E60"/>
    </sheetView>
  </sheetViews>
  <sheetFormatPr defaultRowHeight="15.75" x14ac:dyDescent="0.25"/>
  <cols>
    <col min="1" max="1" width="54.7109375" style="2" customWidth="1"/>
    <col min="2" max="2" width="10.140625" style="2" bestFit="1" customWidth="1"/>
    <col min="3" max="3" width="12.28515625" style="2" customWidth="1"/>
    <col min="4" max="4" width="10.7109375" style="2" customWidth="1"/>
    <col min="5" max="256" width="9.140625" style="2"/>
    <col min="257" max="257" width="54.7109375" style="2" customWidth="1"/>
    <col min="258" max="258" width="10.140625" style="2" bestFit="1" customWidth="1"/>
    <col min="259" max="259" width="12.28515625" style="2" customWidth="1"/>
    <col min="260" max="260" width="10.7109375" style="2" customWidth="1"/>
    <col min="261" max="512" width="9.140625" style="2"/>
    <col min="513" max="513" width="54.7109375" style="2" customWidth="1"/>
    <col min="514" max="514" width="10.140625" style="2" bestFit="1" customWidth="1"/>
    <col min="515" max="515" width="12.28515625" style="2" customWidth="1"/>
    <col min="516" max="516" width="10.7109375" style="2" customWidth="1"/>
    <col min="517" max="768" width="9.140625" style="2"/>
    <col min="769" max="769" width="54.7109375" style="2" customWidth="1"/>
    <col min="770" max="770" width="10.140625" style="2" bestFit="1" customWidth="1"/>
    <col min="771" max="771" width="12.28515625" style="2" customWidth="1"/>
    <col min="772" max="772" width="10.7109375" style="2" customWidth="1"/>
    <col min="773" max="1024" width="9.140625" style="2"/>
    <col min="1025" max="1025" width="54.7109375" style="2" customWidth="1"/>
    <col min="1026" max="1026" width="10.140625" style="2" bestFit="1" customWidth="1"/>
    <col min="1027" max="1027" width="12.28515625" style="2" customWidth="1"/>
    <col min="1028" max="1028" width="10.7109375" style="2" customWidth="1"/>
    <col min="1029" max="1280" width="9.140625" style="2"/>
    <col min="1281" max="1281" width="54.7109375" style="2" customWidth="1"/>
    <col min="1282" max="1282" width="10.140625" style="2" bestFit="1" customWidth="1"/>
    <col min="1283" max="1283" width="12.28515625" style="2" customWidth="1"/>
    <col min="1284" max="1284" width="10.7109375" style="2" customWidth="1"/>
    <col min="1285" max="1536" width="9.140625" style="2"/>
    <col min="1537" max="1537" width="54.7109375" style="2" customWidth="1"/>
    <col min="1538" max="1538" width="10.140625" style="2" bestFit="1" customWidth="1"/>
    <col min="1539" max="1539" width="12.28515625" style="2" customWidth="1"/>
    <col min="1540" max="1540" width="10.7109375" style="2" customWidth="1"/>
    <col min="1541" max="1792" width="9.140625" style="2"/>
    <col min="1793" max="1793" width="54.7109375" style="2" customWidth="1"/>
    <col min="1794" max="1794" width="10.140625" style="2" bestFit="1" customWidth="1"/>
    <col min="1795" max="1795" width="12.28515625" style="2" customWidth="1"/>
    <col min="1796" max="1796" width="10.7109375" style="2" customWidth="1"/>
    <col min="1797" max="2048" width="9.140625" style="2"/>
    <col min="2049" max="2049" width="54.7109375" style="2" customWidth="1"/>
    <col min="2050" max="2050" width="10.140625" style="2" bestFit="1" customWidth="1"/>
    <col min="2051" max="2051" width="12.28515625" style="2" customWidth="1"/>
    <col min="2052" max="2052" width="10.7109375" style="2" customWidth="1"/>
    <col min="2053" max="2304" width="9.140625" style="2"/>
    <col min="2305" max="2305" width="54.7109375" style="2" customWidth="1"/>
    <col min="2306" max="2306" width="10.140625" style="2" bestFit="1" customWidth="1"/>
    <col min="2307" max="2307" width="12.28515625" style="2" customWidth="1"/>
    <col min="2308" max="2308" width="10.7109375" style="2" customWidth="1"/>
    <col min="2309" max="2560" width="9.140625" style="2"/>
    <col min="2561" max="2561" width="54.7109375" style="2" customWidth="1"/>
    <col min="2562" max="2562" width="10.140625" style="2" bestFit="1" customWidth="1"/>
    <col min="2563" max="2563" width="12.28515625" style="2" customWidth="1"/>
    <col min="2564" max="2564" width="10.7109375" style="2" customWidth="1"/>
    <col min="2565" max="2816" width="9.140625" style="2"/>
    <col min="2817" max="2817" width="54.7109375" style="2" customWidth="1"/>
    <col min="2818" max="2818" width="10.140625" style="2" bestFit="1" customWidth="1"/>
    <col min="2819" max="2819" width="12.28515625" style="2" customWidth="1"/>
    <col min="2820" max="2820" width="10.7109375" style="2" customWidth="1"/>
    <col min="2821" max="3072" width="9.140625" style="2"/>
    <col min="3073" max="3073" width="54.7109375" style="2" customWidth="1"/>
    <col min="3074" max="3074" width="10.140625" style="2" bestFit="1" customWidth="1"/>
    <col min="3075" max="3075" width="12.28515625" style="2" customWidth="1"/>
    <col min="3076" max="3076" width="10.7109375" style="2" customWidth="1"/>
    <col min="3077" max="3328" width="9.140625" style="2"/>
    <col min="3329" max="3329" width="54.7109375" style="2" customWidth="1"/>
    <col min="3330" max="3330" width="10.140625" style="2" bestFit="1" customWidth="1"/>
    <col min="3331" max="3331" width="12.28515625" style="2" customWidth="1"/>
    <col min="3332" max="3332" width="10.7109375" style="2" customWidth="1"/>
    <col min="3333" max="3584" width="9.140625" style="2"/>
    <col min="3585" max="3585" width="54.7109375" style="2" customWidth="1"/>
    <col min="3586" max="3586" width="10.140625" style="2" bestFit="1" customWidth="1"/>
    <col min="3587" max="3587" width="12.28515625" style="2" customWidth="1"/>
    <col min="3588" max="3588" width="10.7109375" style="2" customWidth="1"/>
    <col min="3589" max="3840" width="9.140625" style="2"/>
    <col min="3841" max="3841" width="54.7109375" style="2" customWidth="1"/>
    <col min="3842" max="3842" width="10.140625" style="2" bestFit="1" customWidth="1"/>
    <col min="3843" max="3843" width="12.28515625" style="2" customWidth="1"/>
    <col min="3844" max="3844" width="10.7109375" style="2" customWidth="1"/>
    <col min="3845" max="4096" width="9.140625" style="2"/>
    <col min="4097" max="4097" width="54.7109375" style="2" customWidth="1"/>
    <col min="4098" max="4098" width="10.140625" style="2" bestFit="1" customWidth="1"/>
    <col min="4099" max="4099" width="12.28515625" style="2" customWidth="1"/>
    <col min="4100" max="4100" width="10.7109375" style="2" customWidth="1"/>
    <col min="4101" max="4352" width="9.140625" style="2"/>
    <col min="4353" max="4353" width="54.7109375" style="2" customWidth="1"/>
    <col min="4354" max="4354" width="10.140625" style="2" bestFit="1" customWidth="1"/>
    <col min="4355" max="4355" width="12.28515625" style="2" customWidth="1"/>
    <col min="4356" max="4356" width="10.7109375" style="2" customWidth="1"/>
    <col min="4357" max="4608" width="9.140625" style="2"/>
    <col min="4609" max="4609" width="54.7109375" style="2" customWidth="1"/>
    <col min="4610" max="4610" width="10.140625" style="2" bestFit="1" customWidth="1"/>
    <col min="4611" max="4611" width="12.28515625" style="2" customWidth="1"/>
    <col min="4612" max="4612" width="10.7109375" style="2" customWidth="1"/>
    <col min="4613" max="4864" width="9.140625" style="2"/>
    <col min="4865" max="4865" width="54.7109375" style="2" customWidth="1"/>
    <col min="4866" max="4866" width="10.140625" style="2" bestFit="1" customWidth="1"/>
    <col min="4867" max="4867" width="12.28515625" style="2" customWidth="1"/>
    <col min="4868" max="4868" width="10.7109375" style="2" customWidth="1"/>
    <col min="4869" max="5120" width="9.140625" style="2"/>
    <col min="5121" max="5121" width="54.7109375" style="2" customWidth="1"/>
    <col min="5122" max="5122" width="10.140625" style="2" bestFit="1" customWidth="1"/>
    <col min="5123" max="5123" width="12.28515625" style="2" customWidth="1"/>
    <col min="5124" max="5124" width="10.7109375" style="2" customWidth="1"/>
    <col min="5125" max="5376" width="9.140625" style="2"/>
    <col min="5377" max="5377" width="54.7109375" style="2" customWidth="1"/>
    <col min="5378" max="5378" width="10.140625" style="2" bestFit="1" customWidth="1"/>
    <col min="5379" max="5379" width="12.28515625" style="2" customWidth="1"/>
    <col min="5380" max="5380" width="10.7109375" style="2" customWidth="1"/>
    <col min="5381" max="5632" width="9.140625" style="2"/>
    <col min="5633" max="5633" width="54.7109375" style="2" customWidth="1"/>
    <col min="5634" max="5634" width="10.140625" style="2" bestFit="1" customWidth="1"/>
    <col min="5635" max="5635" width="12.28515625" style="2" customWidth="1"/>
    <col min="5636" max="5636" width="10.7109375" style="2" customWidth="1"/>
    <col min="5637" max="5888" width="9.140625" style="2"/>
    <col min="5889" max="5889" width="54.7109375" style="2" customWidth="1"/>
    <col min="5890" max="5890" width="10.140625" style="2" bestFit="1" customWidth="1"/>
    <col min="5891" max="5891" width="12.28515625" style="2" customWidth="1"/>
    <col min="5892" max="5892" width="10.7109375" style="2" customWidth="1"/>
    <col min="5893" max="6144" width="9.140625" style="2"/>
    <col min="6145" max="6145" width="54.7109375" style="2" customWidth="1"/>
    <col min="6146" max="6146" width="10.140625" style="2" bestFit="1" customWidth="1"/>
    <col min="6147" max="6147" width="12.28515625" style="2" customWidth="1"/>
    <col min="6148" max="6148" width="10.7109375" style="2" customWidth="1"/>
    <col min="6149" max="6400" width="9.140625" style="2"/>
    <col min="6401" max="6401" width="54.7109375" style="2" customWidth="1"/>
    <col min="6402" max="6402" width="10.140625" style="2" bestFit="1" customWidth="1"/>
    <col min="6403" max="6403" width="12.28515625" style="2" customWidth="1"/>
    <col min="6404" max="6404" width="10.7109375" style="2" customWidth="1"/>
    <col min="6405" max="6656" width="9.140625" style="2"/>
    <col min="6657" max="6657" width="54.7109375" style="2" customWidth="1"/>
    <col min="6658" max="6658" width="10.140625" style="2" bestFit="1" customWidth="1"/>
    <col min="6659" max="6659" width="12.28515625" style="2" customWidth="1"/>
    <col min="6660" max="6660" width="10.7109375" style="2" customWidth="1"/>
    <col min="6661" max="6912" width="9.140625" style="2"/>
    <col min="6913" max="6913" width="54.7109375" style="2" customWidth="1"/>
    <col min="6914" max="6914" width="10.140625" style="2" bestFit="1" customWidth="1"/>
    <col min="6915" max="6915" width="12.28515625" style="2" customWidth="1"/>
    <col min="6916" max="6916" width="10.7109375" style="2" customWidth="1"/>
    <col min="6917" max="7168" width="9.140625" style="2"/>
    <col min="7169" max="7169" width="54.7109375" style="2" customWidth="1"/>
    <col min="7170" max="7170" width="10.140625" style="2" bestFit="1" customWidth="1"/>
    <col min="7171" max="7171" width="12.28515625" style="2" customWidth="1"/>
    <col min="7172" max="7172" width="10.7109375" style="2" customWidth="1"/>
    <col min="7173" max="7424" width="9.140625" style="2"/>
    <col min="7425" max="7425" width="54.7109375" style="2" customWidth="1"/>
    <col min="7426" max="7426" width="10.140625" style="2" bestFit="1" customWidth="1"/>
    <col min="7427" max="7427" width="12.28515625" style="2" customWidth="1"/>
    <col min="7428" max="7428" width="10.7109375" style="2" customWidth="1"/>
    <col min="7429" max="7680" width="9.140625" style="2"/>
    <col min="7681" max="7681" width="54.7109375" style="2" customWidth="1"/>
    <col min="7682" max="7682" width="10.140625" style="2" bestFit="1" customWidth="1"/>
    <col min="7683" max="7683" width="12.28515625" style="2" customWidth="1"/>
    <col min="7684" max="7684" width="10.7109375" style="2" customWidth="1"/>
    <col min="7685" max="7936" width="9.140625" style="2"/>
    <col min="7937" max="7937" width="54.7109375" style="2" customWidth="1"/>
    <col min="7938" max="7938" width="10.140625" style="2" bestFit="1" customWidth="1"/>
    <col min="7939" max="7939" width="12.28515625" style="2" customWidth="1"/>
    <col min="7940" max="7940" width="10.7109375" style="2" customWidth="1"/>
    <col min="7941" max="8192" width="9.140625" style="2"/>
    <col min="8193" max="8193" width="54.7109375" style="2" customWidth="1"/>
    <col min="8194" max="8194" width="10.140625" style="2" bestFit="1" customWidth="1"/>
    <col min="8195" max="8195" width="12.28515625" style="2" customWidth="1"/>
    <col min="8196" max="8196" width="10.7109375" style="2" customWidth="1"/>
    <col min="8197" max="8448" width="9.140625" style="2"/>
    <col min="8449" max="8449" width="54.7109375" style="2" customWidth="1"/>
    <col min="8450" max="8450" width="10.140625" style="2" bestFit="1" customWidth="1"/>
    <col min="8451" max="8451" width="12.28515625" style="2" customWidth="1"/>
    <col min="8452" max="8452" width="10.7109375" style="2" customWidth="1"/>
    <col min="8453" max="8704" width="9.140625" style="2"/>
    <col min="8705" max="8705" width="54.7109375" style="2" customWidth="1"/>
    <col min="8706" max="8706" width="10.140625" style="2" bestFit="1" customWidth="1"/>
    <col min="8707" max="8707" width="12.28515625" style="2" customWidth="1"/>
    <col min="8708" max="8708" width="10.7109375" style="2" customWidth="1"/>
    <col min="8709" max="8960" width="9.140625" style="2"/>
    <col min="8961" max="8961" width="54.7109375" style="2" customWidth="1"/>
    <col min="8962" max="8962" width="10.140625" style="2" bestFit="1" customWidth="1"/>
    <col min="8963" max="8963" width="12.28515625" style="2" customWidth="1"/>
    <col min="8964" max="8964" width="10.7109375" style="2" customWidth="1"/>
    <col min="8965" max="9216" width="9.140625" style="2"/>
    <col min="9217" max="9217" width="54.7109375" style="2" customWidth="1"/>
    <col min="9218" max="9218" width="10.140625" style="2" bestFit="1" customWidth="1"/>
    <col min="9219" max="9219" width="12.28515625" style="2" customWidth="1"/>
    <col min="9220" max="9220" width="10.7109375" style="2" customWidth="1"/>
    <col min="9221" max="9472" width="9.140625" style="2"/>
    <col min="9473" max="9473" width="54.7109375" style="2" customWidth="1"/>
    <col min="9474" max="9474" width="10.140625" style="2" bestFit="1" customWidth="1"/>
    <col min="9475" max="9475" width="12.28515625" style="2" customWidth="1"/>
    <col min="9476" max="9476" width="10.7109375" style="2" customWidth="1"/>
    <col min="9477" max="9728" width="9.140625" style="2"/>
    <col min="9729" max="9729" width="54.7109375" style="2" customWidth="1"/>
    <col min="9730" max="9730" width="10.140625" style="2" bestFit="1" customWidth="1"/>
    <col min="9731" max="9731" width="12.28515625" style="2" customWidth="1"/>
    <col min="9732" max="9732" width="10.7109375" style="2" customWidth="1"/>
    <col min="9733" max="9984" width="9.140625" style="2"/>
    <col min="9985" max="9985" width="54.7109375" style="2" customWidth="1"/>
    <col min="9986" max="9986" width="10.140625" style="2" bestFit="1" customWidth="1"/>
    <col min="9987" max="9987" width="12.28515625" style="2" customWidth="1"/>
    <col min="9988" max="9988" width="10.7109375" style="2" customWidth="1"/>
    <col min="9989" max="10240" width="9.140625" style="2"/>
    <col min="10241" max="10241" width="54.7109375" style="2" customWidth="1"/>
    <col min="10242" max="10242" width="10.140625" style="2" bestFit="1" customWidth="1"/>
    <col min="10243" max="10243" width="12.28515625" style="2" customWidth="1"/>
    <col min="10244" max="10244" width="10.7109375" style="2" customWidth="1"/>
    <col min="10245" max="10496" width="9.140625" style="2"/>
    <col min="10497" max="10497" width="54.7109375" style="2" customWidth="1"/>
    <col min="10498" max="10498" width="10.140625" style="2" bestFit="1" customWidth="1"/>
    <col min="10499" max="10499" width="12.28515625" style="2" customWidth="1"/>
    <col min="10500" max="10500" width="10.7109375" style="2" customWidth="1"/>
    <col min="10501" max="10752" width="9.140625" style="2"/>
    <col min="10753" max="10753" width="54.7109375" style="2" customWidth="1"/>
    <col min="10754" max="10754" width="10.140625" style="2" bestFit="1" customWidth="1"/>
    <col min="10755" max="10755" width="12.28515625" style="2" customWidth="1"/>
    <col min="10756" max="10756" width="10.7109375" style="2" customWidth="1"/>
    <col min="10757" max="11008" width="9.140625" style="2"/>
    <col min="11009" max="11009" width="54.7109375" style="2" customWidth="1"/>
    <col min="11010" max="11010" width="10.140625" style="2" bestFit="1" customWidth="1"/>
    <col min="11011" max="11011" width="12.28515625" style="2" customWidth="1"/>
    <col min="11012" max="11012" width="10.7109375" style="2" customWidth="1"/>
    <col min="11013" max="11264" width="9.140625" style="2"/>
    <col min="11265" max="11265" width="54.7109375" style="2" customWidth="1"/>
    <col min="11266" max="11266" width="10.140625" style="2" bestFit="1" customWidth="1"/>
    <col min="11267" max="11267" width="12.28515625" style="2" customWidth="1"/>
    <col min="11268" max="11268" width="10.7109375" style="2" customWidth="1"/>
    <col min="11269" max="11520" width="9.140625" style="2"/>
    <col min="11521" max="11521" width="54.7109375" style="2" customWidth="1"/>
    <col min="11522" max="11522" width="10.140625" style="2" bestFit="1" customWidth="1"/>
    <col min="11523" max="11523" width="12.28515625" style="2" customWidth="1"/>
    <col min="11524" max="11524" width="10.7109375" style="2" customWidth="1"/>
    <col min="11525" max="11776" width="9.140625" style="2"/>
    <col min="11777" max="11777" width="54.7109375" style="2" customWidth="1"/>
    <col min="11778" max="11778" width="10.140625" style="2" bestFit="1" customWidth="1"/>
    <col min="11779" max="11779" width="12.28515625" style="2" customWidth="1"/>
    <col min="11780" max="11780" width="10.7109375" style="2" customWidth="1"/>
    <col min="11781" max="12032" width="9.140625" style="2"/>
    <col min="12033" max="12033" width="54.7109375" style="2" customWidth="1"/>
    <col min="12034" max="12034" width="10.140625" style="2" bestFit="1" customWidth="1"/>
    <col min="12035" max="12035" width="12.28515625" style="2" customWidth="1"/>
    <col min="12036" max="12036" width="10.7109375" style="2" customWidth="1"/>
    <col min="12037" max="12288" width="9.140625" style="2"/>
    <col min="12289" max="12289" width="54.7109375" style="2" customWidth="1"/>
    <col min="12290" max="12290" width="10.140625" style="2" bestFit="1" customWidth="1"/>
    <col min="12291" max="12291" width="12.28515625" style="2" customWidth="1"/>
    <col min="12292" max="12292" width="10.7109375" style="2" customWidth="1"/>
    <col min="12293" max="12544" width="9.140625" style="2"/>
    <col min="12545" max="12545" width="54.7109375" style="2" customWidth="1"/>
    <col min="12546" max="12546" width="10.140625" style="2" bestFit="1" customWidth="1"/>
    <col min="12547" max="12547" width="12.28515625" style="2" customWidth="1"/>
    <col min="12548" max="12548" width="10.7109375" style="2" customWidth="1"/>
    <col min="12549" max="12800" width="9.140625" style="2"/>
    <col min="12801" max="12801" width="54.7109375" style="2" customWidth="1"/>
    <col min="12802" max="12802" width="10.140625" style="2" bestFit="1" customWidth="1"/>
    <col min="12803" max="12803" width="12.28515625" style="2" customWidth="1"/>
    <col min="12804" max="12804" width="10.7109375" style="2" customWidth="1"/>
    <col min="12805" max="13056" width="9.140625" style="2"/>
    <col min="13057" max="13057" width="54.7109375" style="2" customWidth="1"/>
    <col min="13058" max="13058" width="10.140625" style="2" bestFit="1" customWidth="1"/>
    <col min="13059" max="13059" width="12.28515625" style="2" customWidth="1"/>
    <col min="13060" max="13060" width="10.7109375" style="2" customWidth="1"/>
    <col min="13061" max="13312" width="9.140625" style="2"/>
    <col min="13313" max="13313" width="54.7109375" style="2" customWidth="1"/>
    <col min="13314" max="13314" width="10.140625" style="2" bestFit="1" customWidth="1"/>
    <col min="13315" max="13315" width="12.28515625" style="2" customWidth="1"/>
    <col min="13316" max="13316" width="10.7109375" style="2" customWidth="1"/>
    <col min="13317" max="13568" width="9.140625" style="2"/>
    <col min="13569" max="13569" width="54.7109375" style="2" customWidth="1"/>
    <col min="13570" max="13570" width="10.140625" style="2" bestFit="1" customWidth="1"/>
    <col min="13571" max="13571" width="12.28515625" style="2" customWidth="1"/>
    <col min="13572" max="13572" width="10.7109375" style="2" customWidth="1"/>
    <col min="13573" max="13824" width="9.140625" style="2"/>
    <col min="13825" max="13825" width="54.7109375" style="2" customWidth="1"/>
    <col min="13826" max="13826" width="10.140625" style="2" bestFit="1" customWidth="1"/>
    <col min="13827" max="13827" width="12.28515625" style="2" customWidth="1"/>
    <col min="13828" max="13828" width="10.7109375" style="2" customWidth="1"/>
    <col min="13829" max="14080" width="9.140625" style="2"/>
    <col min="14081" max="14081" width="54.7109375" style="2" customWidth="1"/>
    <col min="14082" max="14082" width="10.140625" style="2" bestFit="1" customWidth="1"/>
    <col min="14083" max="14083" width="12.28515625" style="2" customWidth="1"/>
    <col min="14084" max="14084" width="10.7109375" style="2" customWidth="1"/>
    <col min="14085" max="14336" width="9.140625" style="2"/>
    <col min="14337" max="14337" width="54.7109375" style="2" customWidth="1"/>
    <col min="14338" max="14338" width="10.140625" style="2" bestFit="1" customWidth="1"/>
    <col min="14339" max="14339" width="12.28515625" style="2" customWidth="1"/>
    <col min="14340" max="14340" width="10.7109375" style="2" customWidth="1"/>
    <col min="14341" max="14592" width="9.140625" style="2"/>
    <col min="14593" max="14593" width="54.7109375" style="2" customWidth="1"/>
    <col min="14594" max="14594" width="10.140625" style="2" bestFit="1" customWidth="1"/>
    <col min="14595" max="14595" width="12.28515625" style="2" customWidth="1"/>
    <col min="14596" max="14596" width="10.7109375" style="2" customWidth="1"/>
    <col min="14597" max="14848" width="9.140625" style="2"/>
    <col min="14849" max="14849" width="54.7109375" style="2" customWidth="1"/>
    <col min="14850" max="14850" width="10.140625" style="2" bestFit="1" customWidth="1"/>
    <col min="14851" max="14851" width="12.28515625" style="2" customWidth="1"/>
    <col min="14852" max="14852" width="10.7109375" style="2" customWidth="1"/>
    <col min="14853" max="15104" width="9.140625" style="2"/>
    <col min="15105" max="15105" width="54.7109375" style="2" customWidth="1"/>
    <col min="15106" max="15106" width="10.140625" style="2" bestFit="1" customWidth="1"/>
    <col min="15107" max="15107" width="12.28515625" style="2" customWidth="1"/>
    <col min="15108" max="15108" width="10.7109375" style="2" customWidth="1"/>
    <col min="15109" max="15360" width="9.140625" style="2"/>
    <col min="15361" max="15361" width="54.7109375" style="2" customWidth="1"/>
    <col min="15362" max="15362" width="10.140625" style="2" bestFit="1" customWidth="1"/>
    <col min="15363" max="15363" width="12.28515625" style="2" customWidth="1"/>
    <col min="15364" max="15364" width="10.7109375" style="2" customWidth="1"/>
    <col min="15365" max="15616" width="9.140625" style="2"/>
    <col min="15617" max="15617" width="54.7109375" style="2" customWidth="1"/>
    <col min="15618" max="15618" width="10.140625" style="2" bestFit="1" customWidth="1"/>
    <col min="15619" max="15619" width="12.28515625" style="2" customWidth="1"/>
    <col min="15620" max="15620" width="10.7109375" style="2" customWidth="1"/>
    <col min="15621" max="15872" width="9.140625" style="2"/>
    <col min="15873" max="15873" width="54.7109375" style="2" customWidth="1"/>
    <col min="15874" max="15874" width="10.140625" style="2" bestFit="1" customWidth="1"/>
    <col min="15875" max="15875" width="12.28515625" style="2" customWidth="1"/>
    <col min="15876" max="15876" width="10.7109375" style="2" customWidth="1"/>
    <col min="15877" max="16128" width="9.140625" style="2"/>
    <col min="16129" max="16129" width="54.7109375" style="2" customWidth="1"/>
    <col min="16130" max="16130" width="10.140625" style="2" bestFit="1" customWidth="1"/>
    <col min="16131" max="16131" width="12.28515625" style="2" customWidth="1"/>
    <col min="16132" max="16132" width="10.7109375" style="2" customWidth="1"/>
    <col min="16133" max="16384" width="9.140625" style="2"/>
  </cols>
  <sheetData>
    <row r="1" spans="1:8" x14ac:dyDescent="0.25">
      <c r="A1" s="38" t="s">
        <v>0</v>
      </c>
      <c r="B1" s="38"/>
      <c r="C1" s="38"/>
      <c r="D1" s="38"/>
      <c r="E1" s="1"/>
      <c r="F1" s="1"/>
      <c r="G1" s="1"/>
      <c r="H1" s="1"/>
    </row>
    <row r="2" spans="1:8" x14ac:dyDescent="0.25">
      <c r="A2" s="3" t="s">
        <v>1</v>
      </c>
    </row>
    <row r="3" spans="1:8" x14ac:dyDescent="0.25">
      <c r="A3" s="4" t="s">
        <v>2</v>
      </c>
    </row>
    <row r="4" spans="1:8" x14ac:dyDescent="0.25">
      <c r="A4" s="3" t="s">
        <v>3</v>
      </c>
    </row>
    <row r="14" spans="1:8" x14ac:dyDescent="0.25">
      <c r="A14" s="5" t="s">
        <v>4</v>
      </c>
    </row>
    <row r="15" spans="1:8" ht="18.75" x14ac:dyDescent="0.25">
      <c r="A15" s="6" t="s">
        <v>5</v>
      </c>
      <c r="B15" s="7">
        <v>350</v>
      </c>
    </row>
    <row r="16" spans="1:8" ht="18.75" x14ac:dyDescent="0.25">
      <c r="A16" s="6" t="s">
        <v>6</v>
      </c>
      <c r="B16" s="7">
        <v>210</v>
      </c>
    </row>
    <row r="17" spans="1:2" x14ac:dyDescent="0.25">
      <c r="A17" s="6" t="s">
        <v>7</v>
      </c>
      <c r="B17" s="7">
        <v>1.2</v>
      </c>
    </row>
    <row r="18" spans="1:2" ht="18.75" x14ac:dyDescent="0.25">
      <c r="A18" s="6" t="s">
        <v>8</v>
      </c>
      <c r="B18" s="8">
        <f>B17-0.04</f>
        <v>1.1599999999999999</v>
      </c>
    </row>
    <row r="19" spans="1:2" ht="18.75" x14ac:dyDescent="0.25">
      <c r="A19" s="6" t="s">
        <v>9</v>
      </c>
      <c r="B19" s="7">
        <v>1534</v>
      </c>
    </row>
    <row r="20" spans="1:2" ht="18.75" x14ac:dyDescent="0.25">
      <c r="A20" s="6" t="s">
        <v>10</v>
      </c>
      <c r="B20" s="7">
        <v>46</v>
      </c>
    </row>
    <row r="21" spans="1:2" ht="18.75" x14ac:dyDescent="0.25">
      <c r="A21" s="6" t="s">
        <v>11</v>
      </c>
      <c r="B21" s="7">
        <v>0.10100000000000001</v>
      </c>
    </row>
    <row r="22" spans="1:2" ht="18.75" x14ac:dyDescent="0.25">
      <c r="A22" s="6" t="s">
        <v>12</v>
      </c>
      <c r="B22" s="7">
        <v>0.13</v>
      </c>
    </row>
    <row r="23" spans="1:2" ht="18.75" x14ac:dyDescent="0.25">
      <c r="A23" s="6" t="s">
        <v>13</v>
      </c>
      <c r="B23" s="7">
        <v>53</v>
      </c>
    </row>
    <row r="24" spans="1:2" ht="18.75" x14ac:dyDescent="0.25">
      <c r="A24" s="6" t="s">
        <v>14</v>
      </c>
      <c r="B24" s="8" t="s">
        <v>15</v>
      </c>
    </row>
    <row r="25" spans="1:2" ht="18.75" x14ac:dyDescent="0.25">
      <c r="A25" s="6" t="s">
        <v>16</v>
      </c>
      <c r="B25" s="7">
        <v>5.99</v>
      </c>
    </row>
    <row r="26" spans="1:2" ht="18.75" x14ac:dyDescent="0.25">
      <c r="A26" s="6" t="s">
        <v>17</v>
      </c>
      <c r="B26" s="7">
        <v>6.23</v>
      </c>
    </row>
    <row r="27" spans="1:2" ht="18.75" x14ac:dyDescent="0.25">
      <c r="A27" s="6" t="s">
        <v>18</v>
      </c>
      <c r="B27" s="8">
        <f>B25*1.1</f>
        <v>6.5890000000000004</v>
      </c>
    </row>
    <row r="28" spans="1:2" x14ac:dyDescent="0.25">
      <c r="A28" s="6" t="s">
        <v>19</v>
      </c>
      <c r="B28" s="7">
        <v>18.600000000000001</v>
      </c>
    </row>
    <row r="29" spans="1:2" ht="18.75" x14ac:dyDescent="0.25">
      <c r="A29" s="6" t="s">
        <v>20</v>
      </c>
      <c r="B29" s="7">
        <v>20.440000000000001</v>
      </c>
    </row>
    <row r="30" spans="1:2" ht="18.75" x14ac:dyDescent="0.25">
      <c r="A30" s="6" t="s">
        <v>21</v>
      </c>
      <c r="B30" s="7">
        <v>84.3</v>
      </c>
    </row>
    <row r="31" spans="1:2" ht="18.75" x14ac:dyDescent="0.25">
      <c r="A31" s="6" t="s">
        <v>22</v>
      </c>
      <c r="B31" s="7">
        <f>B30*1.1</f>
        <v>92.73</v>
      </c>
    </row>
    <row r="32" spans="1:2" ht="18.75" x14ac:dyDescent="0.25">
      <c r="A32" s="6" t="s">
        <v>23</v>
      </c>
      <c r="B32" s="7">
        <v>86.8</v>
      </c>
    </row>
    <row r="33" spans="1:4" ht="18.75" x14ac:dyDescent="0.25">
      <c r="A33" s="6" t="s">
        <v>24</v>
      </c>
      <c r="B33" s="7">
        <v>0.216</v>
      </c>
    </row>
    <row r="34" spans="1:4" x14ac:dyDescent="0.25">
      <c r="D34" s="9"/>
    </row>
    <row r="35" spans="1:4" ht="16.5" x14ac:dyDescent="0.25">
      <c r="A35" s="10" t="s">
        <v>25</v>
      </c>
      <c r="B35" s="11"/>
      <c r="C35" s="11"/>
      <c r="D35" s="11"/>
    </row>
    <row r="36" spans="1:4" ht="18.75" x14ac:dyDescent="0.25">
      <c r="A36" s="12" t="s">
        <v>10</v>
      </c>
      <c r="B36" s="8">
        <f>B20</f>
        <v>46</v>
      </c>
      <c r="C36" s="8"/>
      <c r="D36" s="8"/>
    </row>
    <row r="37" spans="1:4" ht="18.75" x14ac:dyDescent="0.25">
      <c r="A37" s="12" t="s">
        <v>26</v>
      </c>
      <c r="B37" s="8">
        <v>105</v>
      </c>
      <c r="C37" s="8"/>
      <c r="D37" s="8"/>
    </row>
    <row r="38" spans="1:4" ht="18.75" x14ac:dyDescent="0.25">
      <c r="A38" s="12" t="s">
        <v>27</v>
      </c>
      <c r="B38" s="8">
        <v>26.5</v>
      </c>
      <c r="C38" s="8"/>
      <c r="D38" s="8"/>
    </row>
    <row r="39" spans="1:4" ht="18.75" x14ac:dyDescent="0.25">
      <c r="A39" s="12" t="s">
        <v>28</v>
      </c>
      <c r="B39" s="8">
        <v>225</v>
      </c>
      <c r="C39" s="8"/>
      <c r="D39" s="8"/>
    </row>
    <row r="40" spans="1:4" ht="18.75" x14ac:dyDescent="0.25">
      <c r="A40" s="12" t="s">
        <v>29</v>
      </c>
      <c r="B40" s="8">
        <v>67</v>
      </c>
      <c r="C40" s="8"/>
      <c r="D40" s="8"/>
    </row>
    <row r="41" spans="1:4" ht="31.5" x14ac:dyDescent="0.25">
      <c r="A41" s="12" t="s">
        <v>30</v>
      </c>
      <c r="B41" s="8">
        <f>B36/B38</f>
        <v>1.7358490566037736</v>
      </c>
      <c r="C41" s="13" t="s">
        <v>31</v>
      </c>
      <c r="D41" s="8">
        <f>DEGREES(ATAN(B41))</f>
        <v>60.054316559604828</v>
      </c>
    </row>
    <row r="51" spans="1:2" x14ac:dyDescent="0.25">
      <c r="A51" s="4" t="s">
        <v>32</v>
      </c>
    </row>
    <row r="52" spans="1:2" x14ac:dyDescent="0.25">
      <c r="A52" s="14" t="s">
        <v>33</v>
      </c>
      <c r="B52" s="7">
        <v>120</v>
      </c>
    </row>
    <row r="53" spans="1:2" ht="18.75" x14ac:dyDescent="0.25">
      <c r="A53" s="14" t="s">
        <v>34</v>
      </c>
      <c r="B53" s="8">
        <f>B52-B20</f>
        <v>74</v>
      </c>
    </row>
    <row r="54" spans="1:2" ht="18.75" x14ac:dyDescent="0.25">
      <c r="A54" s="14" t="s">
        <v>35</v>
      </c>
      <c r="B54" s="8">
        <f>B52-B28</f>
        <v>101.4</v>
      </c>
    </row>
    <row r="57" spans="1:2" x14ac:dyDescent="0.25">
      <c r="A57" s="4" t="s">
        <v>36</v>
      </c>
    </row>
    <row r="58" spans="1:2" x14ac:dyDescent="0.25">
      <c r="A58" s="6" t="s">
        <v>37</v>
      </c>
      <c r="B58" s="7" t="s">
        <v>38</v>
      </c>
    </row>
    <row r="59" spans="1:2" ht="18.75" x14ac:dyDescent="0.25">
      <c r="A59" s="6" t="s">
        <v>39</v>
      </c>
      <c r="B59" s="7">
        <v>25</v>
      </c>
    </row>
    <row r="60" spans="1:2" ht="18.75" x14ac:dyDescent="0.25">
      <c r="A60" s="6" t="s">
        <v>40</v>
      </c>
      <c r="B60" s="7">
        <v>20</v>
      </c>
    </row>
    <row r="61" spans="1:2" ht="18.75" x14ac:dyDescent="0.25">
      <c r="A61" s="6" t="s">
        <v>41</v>
      </c>
      <c r="B61" s="7">
        <v>2.2000000000000002</v>
      </c>
    </row>
    <row r="62" spans="1:2" ht="18.75" x14ac:dyDescent="0.25">
      <c r="A62" s="6" t="s">
        <v>42</v>
      </c>
      <c r="B62" s="7">
        <v>29</v>
      </c>
    </row>
    <row r="65" spans="1:2" x14ac:dyDescent="0.25">
      <c r="A65" s="4" t="s">
        <v>43</v>
      </c>
    </row>
    <row r="66" spans="1:2" x14ac:dyDescent="0.25">
      <c r="A66" s="12" t="s">
        <v>44</v>
      </c>
      <c r="B66" s="7">
        <v>10</v>
      </c>
    </row>
    <row r="67" spans="1:2" x14ac:dyDescent="0.25">
      <c r="A67" s="12" t="s">
        <v>45</v>
      </c>
      <c r="B67" s="7">
        <v>150</v>
      </c>
    </row>
    <row r="68" spans="1:2" ht="18.75" x14ac:dyDescent="0.25">
      <c r="A68" s="12" t="s">
        <v>46</v>
      </c>
      <c r="B68" s="7">
        <v>523</v>
      </c>
    </row>
    <row r="69" spans="1:2" ht="18.75" x14ac:dyDescent="0.25">
      <c r="A69" s="12" t="s">
        <v>47</v>
      </c>
      <c r="B69" s="7">
        <v>390</v>
      </c>
    </row>
    <row r="70" spans="1:2" ht="18.75" x14ac:dyDescent="0.25">
      <c r="A70" s="12" t="s">
        <v>48</v>
      </c>
      <c r="B70" s="7">
        <v>210</v>
      </c>
    </row>
    <row r="73" spans="1:2" x14ac:dyDescent="0.25">
      <c r="A73" s="4" t="s">
        <v>49</v>
      </c>
    </row>
    <row r="74" spans="1:2" ht="18.75" x14ac:dyDescent="0.25">
      <c r="A74" s="12" t="s">
        <v>50</v>
      </c>
      <c r="B74" s="7">
        <v>1.35</v>
      </c>
    </row>
    <row r="75" spans="1:2" ht="18.75" x14ac:dyDescent="0.25">
      <c r="A75" s="12" t="s">
        <v>51</v>
      </c>
      <c r="B75" s="7">
        <v>1.5</v>
      </c>
    </row>
    <row r="76" spans="1:2" ht="18.75" x14ac:dyDescent="0.25">
      <c r="A76" s="12" t="s">
        <v>52</v>
      </c>
      <c r="B76" s="7">
        <v>1.5</v>
      </c>
    </row>
    <row r="77" spans="1:2" ht="18.75" x14ac:dyDescent="0.25">
      <c r="A77" s="12" t="s">
        <v>53</v>
      </c>
      <c r="B77" s="7">
        <v>1.1000000000000001</v>
      </c>
    </row>
    <row r="78" spans="1:2" ht="18.75" x14ac:dyDescent="0.25">
      <c r="A78" s="12" t="s">
        <v>54</v>
      </c>
      <c r="B78" s="7">
        <v>1.1499999999999999</v>
      </c>
    </row>
    <row r="79" spans="1:2" ht="18.75" x14ac:dyDescent="0.25">
      <c r="A79" s="12" t="s">
        <v>55</v>
      </c>
      <c r="B79" s="7">
        <v>1.25</v>
      </c>
    </row>
    <row r="82" spans="1:2" x14ac:dyDescent="0.25">
      <c r="A82" s="3" t="s">
        <v>56</v>
      </c>
    </row>
    <row r="83" spans="1:2" x14ac:dyDescent="0.25">
      <c r="A83" s="4" t="s">
        <v>57</v>
      </c>
    </row>
    <row r="84" spans="1:2" ht="18.75" x14ac:dyDescent="0.25">
      <c r="A84" s="6" t="s">
        <v>58</v>
      </c>
      <c r="B84" s="7">
        <f>B22</f>
        <v>0.13</v>
      </c>
    </row>
    <row r="85" spans="1:2" ht="18.75" x14ac:dyDescent="0.25">
      <c r="A85" s="6" t="s">
        <v>59</v>
      </c>
      <c r="B85" s="8">
        <f>(B59+1)*B21</f>
        <v>2.6260000000000003</v>
      </c>
    </row>
    <row r="86" spans="1:2" ht="18.75" x14ac:dyDescent="0.25">
      <c r="A86" s="6" t="s">
        <v>60</v>
      </c>
      <c r="B86" s="7">
        <v>1.5</v>
      </c>
    </row>
    <row r="87" spans="1:2" ht="18.75" x14ac:dyDescent="0.25">
      <c r="A87" s="6" t="s">
        <v>61</v>
      </c>
      <c r="B87" s="7">
        <v>0.75</v>
      </c>
    </row>
    <row r="89" spans="1:2" x14ac:dyDescent="0.25">
      <c r="A89" s="15" t="s">
        <v>62</v>
      </c>
    </row>
    <row r="90" spans="1:2" x14ac:dyDescent="0.25">
      <c r="A90" s="2" t="s">
        <v>63</v>
      </c>
      <c r="B90" s="16">
        <v>2.9</v>
      </c>
    </row>
    <row r="91" spans="1:2" x14ac:dyDescent="0.25">
      <c r="A91" s="2" t="s">
        <v>64</v>
      </c>
      <c r="B91" s="16">
        <v>75</v>
      </c>
    </row>
    <row r="92" spans="1:2" x14ac:dyDescent="0.25">
      <c r="A92" s="2" t="s">
        <v>65</v>
      </c>
      <c r="B92" s="16">
        <v>50</v>
      </c>
    </row>
    <row r="93" spans="1:2" x14ac:dyDescent="0.25">
      <c r="A93" s="2" t="s">
        <v>66</v>
      </c>
      <c r="B93" s="16">
        <v>100</v>
      </c>
    </row>
    <row r="94" spans="1:2" x14ac:dyDescent="0.25">
      <c r="A94" s="2" t="s">
        <v>67</v>
      </c>
      <c r="B94" s="17"/>
    </row>
    <row r="95" spans="1:2" ht="18.75" x14ac:dyDescent="0.35">
      <c r="A95" s="2" t="s">
        <v>68</v>
      </c>
      <c r="B95" s="17">
        <f>(B90*1000-B91*2-B93+B92*2)/2</f>
        <v>1375</v>
      </c>
    </row>
    <row r="96" spans="1:2" x14ac:dyDescent="0.25">
      <c r="B96" s="17"/>
    </row>
    <row r="97" spans="1:2" x14ac:dyDescent="0.25">
      <c r="A97" s="4" t="s">
        <v>69</v>
      </c>
      <c r="B97" s="17"/>
    </row>
    <row r="98" spans="1:2" x14ac:dyDescent="0.25">
      <c r="A98" s="4" t="s">
        <v>70</v>
      </c>
      <c r="B98" s="17"/>
    </row>
    <row r="99" spans="1:2" ht="18.75" x14ac:dyDescent="0.25">
      <c r="A99" s="2" t="s">
        <v>71</v>
      </c>
      <c r="B99" s="17"/>
    </row>
    <row r="100" spans="1:2" x14ac:dyDescent="0.25">
      <c r="A100" s="2" t="s">
        <v>72</v>
      </c>
      <c r="B100" s="17"/>
    </row>
    <row r="101" spans="1:2" ht="18.75" x14ac:dyDescent="0.35">
      <c r="A101" s="2" t="s">
        <v>73</v>
      </c>
      <c r="B101" s="17">
        <f>B22+26*B21</f>
        <v>2.7560000000000002</v>
      </c>
    </row>
    <row r="102" spans="1:2" x14ac:dyDescent="0.25">
      <c r="A102" s="2" t="s">
        <v>74</v>
      </c>
      <c r="B102" s="17"/>
    </row>
    <row r="103" spans="1:2" ht="18.75" x14ac:dyDescent="0.35">
      <c r="A103" s="2" t="s">
        <v>75</v>
      </c>
      <c r="B103" s="17">
        <f>ROUND(B101*B74,2)</f>
        <v>3.72</v>
      </c>
    </row>
    <row r="104" spans="1:2" ht="18.75" x14ac:dyDescent="0.25">
      <c r="A104" s="6" t="s">
        <v>76</v>
      </c>
      <c r="B104" s="16">
        <v>1.5</v>
      </c>
    </row>
    <row r="105" spans="1:2" ht="18.75" x14ac:dyDescent="0.35">
      <c r="A105" s="2" t="s">
        <v>77</v>
      </c>
      <c r="B105" s="17">
        <f>B104*B75</f>
        <v>2.25</v>
      </c>
    </row>
    <row r="106" spans="1:2" ht="18.75" x14ac:dyDescent="0.25">
      <c r="A106" s="6" t="s">
        <v>78</v>
      </c>
      <c r="B106" s="16">
        <v>0.75</v>
      </c>
    </row>
    <row r="107" spans="1:2" ht="18.75" x14ac:dyDescent="0.35">
      <c r="A107" s="2" t="s">
        <v>77</v>
      </c>
      <c r="B107" s="17">
        <f>B106*B75</f>
        <v>1.125</v>
      </c>
    </row>
    <row r="108" spans="1:2" x14ac:dyDescent="0.25">
      <c r="B108" s="17"/>
    </row>
    <row r="109" spans="1:2" x14ac:dyDescent="0.25">
      <c r="B109" s="17"/>
    </row>
    <row r="110" spans="1:2" x14ac:dyDescent="0.25">
      <c r="A110" s="4" t="s">
        <v>79</v>
      </c>
      <c r="B110" s="17"/>
    </row>
    <row r="111" spans="1:2" ht="18.75" x14ac:dyDescent="0.35">
      <c r="A111" s="2" t="s">
        <v>80</v>
      </c>
      <c r="B111" s="17">
        <f>B95</f>
        <v>1375</v>
      </c>
    </row>
    <row r="112" spans="1:2" x14ac:dyDescent="0.25">
      <c r="A112" s="2" t="s">
        <v>81</v>
      </c>
      <c r="B112" s="17"/>
    </row>
    <row r="113" spans="1:4" x14ac:dyDescent="0.25">
      <c r="A113" s="15" t="s">
        <v>82</v>
      </c>
    </row>
    <row r="122" spans="1:4" x14ac:dyDescent="0.25">
      <c r="A122" s="5" t="s">
        <v>83</v>
      </c>
    </row>
    <row r="123" spans="1:4" ht="18.75" x14ac:dyDescent="0.25">
      <c r="A123" s="6" t="s">
        <v>84</v>
      </c>
      <c r="B123" s="7">
        <v>0</v>
      </c>
      <c r="C123" s="18">
        <f>B25</f>
        <v>5.99</v>
      </c>
      <c r="D123" s="19" t="str">
        <f>IF(B123&lt;=C123,"OK","NOT OK")</f>
        <v>OK</v>
      </c>
    </row>
    <row r="124" spans="1:4" ht="18.75" x14ac:dyDescent="0.25">
      <c r="A124" s="6" t="s">
        <v>85</v>
      </c>
      <c r="B124" s="7">
        <v>1.02</v>
      </c>
      <c r="C124" s="18">
        <f>C123</f>
        <v>5.99</v>
      </c>
      <c r="D124" s="19" t="str">
        <f>IF(B124&lt;=C124,"OK","NOT OK")</f>
        <v>OK</v>
      </c>
    </row>
    <row r="125" spans="1:4" ht="18.75" x14ac:dyDescent="0.25">
      <c r="A125" s="6" t="s">
        <v>86</v>
      </c>
      <c r="B125" s="7">
        <v>0.71</v>
      </c>
      <c r="C125" s="18">
        <f>B26</f>
        <v>6.23</v>
      </c>
      <c r="D125" s="19" t="str">
        <f>IF(B125&lt;=C125,"OK","NOT OK")</f>
        <v>OK</v>
      </c>
    </row>
    <row r="126" spans="1:4" ht="18.75" x14ac:dyDescent="0.25">
      <c r="A126" s="6" t="s">
        <v>87</v>
      </c>
      <c r="B126" s="7">
        <v>3.59</v>
      </c>
      <c r="C126" s="18">
        <f>B30</f>
        <v>84.3</v>
      </c>
      <c r="D126" s="19" t="str">
        <f>IF(B126&lt;=C126,"OK","NOT OK")</f>
        <v>OK</v>
      </c>
    </row>
    <row r="127" spans="1:4" ht="18.75" x14ac:dyDescent="0.25">
      <c r="A127" s="6" t="s">
        <v>88</v>
      </c>
      <c r="B127" s="7">
        <v>4.62</v>
      </c>
      <c r="C127" s="18">
        <f>C126</f>
        <v>84.3</v>
      </c>
      <c r="D127" s="19" t="str">
        <f>IF(B127&lt;=C127,"OK","NOT OK")</f>
        <v>OK</v>
      </c>
    </row>
    <row r="132" spans="1:4" x14ac:dyDescent="0.25">
      <c r="A132" s="15" t="s">
        <v>89</v>
      </c>
    </row>
    <row r="143" spans="1:4" x14ac:dyDescent="0.25">
      <c r="A143" s="5" t="s">
        <v>90</v>
      </c>
    </row>
    <row r="144" spans="1:4" ht="19.5" x14ac:dyDescent="0.25">
      <c r="A144" s="20" t="s">
        <v>91</v>
      </c>
      <c r="B144" s="21">
        <v>0</v>
      </c>
      <c r="C144" s="22">
        <f>C123</f>
        <v>5.99</v>
      </c>
      <c r="D144" s="23" t="str">
        <f t="shared" ref="D144:D151" si="0">IF(B144&lt;=C144,"OK","NOT OK")</f>
        <v>OK</v>
      </c>
    </row>
    <row r="145" spans="1:4" ht="19.5" x14ac:dyDescent="0.25">
      <c r="A145" s="20" t="s">
        <v>92</v>
      </c>
      <c r="B145" s="21">
        <v>0.78</v>
      </c>
      <c r="C145" s="22">
        <f>C144</f>
        <v>5.99</v>
      </c>
      <c r="D145" s="23" t="str">
        <f t="shared" si="0"/>
        <v>OK</v>
      </c>
    </row>
    <row r="146" spans="1:4" ht="19.5" x14ac:dyDescent="0.25">
      <c r="A146" s="20" t="s">
        <v>93</v>
      </c>
      <c r="B146" s="21">
        <v>1.41</v>
      </c>
      <c r="C146" s="22">
        <f>C125</f>
        <v>6.23</v>
      </c>
      <c r="D146" s="23" t="str">
        <f t="shared" si="0"/>
        <v>OK</v>
      </c>
    </row>
    <row r="147" spans="1:4" ht="19.5" x14ac:dyDescent="0.25">
      <c r="A147" s="20" t="s">
        <v>94</v>
      </c>
      <c r="B147" s="21">
        <v>0.78</v>
      </c>
      <c r="C147" s="22">
        <f>C145</f>
        <v>5.99</v>
      </c>
      <c r="D147" s="23" t="str">
        <f t="shared" si="0"/>
        <v>OK</v>
      </c>
    </row>
    <row r="148" spans="1:4" ht="19.5" x14ac:dyDescent="0.25">
      <c r="A148" s="20" t="s">
        <v>95</v>
      </c>
      <c r="B148" s="21">
        <v>0</v>
      </c>
      <c r="C148" s="22">
        <f>C147</f>
        <v>5.99</v>
      </c>
      <c r="D148" s="23" t="str">
        <f t="shared" si="0"/>
        <v>OK</v>
      </c>
    </row>
    <row r="149" spans="1:4" ht="19.5" x14ac:dyDescent="0.25">
      <c r="A149" s="20" t="s">
        <v>96</v>
      </c>
      <c r="B149" s="21">
        <v>3.08</v>
      </c>
      <c r="C149" s="22">
        <f>C126</f>
        <v>84.3</v>
      </c>
      <c r="D149" s="23" t="str">
        <f t="shared" si="0"/>
        <v>OK</v>
      </c>
    </row>
    <row r="150" spans="1:4" ht="19.5" x14ac:dyDescent="0.25">
      <c r="A150" s="20" t="s">
        <v>97</v>
      </c>
      <c r="B150" s="21">
        <v>5.13</v>
      </c>
      <c r="C150" s="22">
        <f>C149</f>
        <v>84.3</v>
      </c>
      <c r="D150" s="23" t="str">
        <f t="shared" si="0"/>
        <v>OK</v>
      </c>
    </row>
    <row r="151" spans="1:4" ht="19.5" x14ac:dyDescent="0.25">
      <c r="A151" s="20" t="s">
        <v>98</v>
      </c>
      <c r="B151" s="21">
        <v>3.08</v>
      </c>
      <c r="C151" s="22">
        <f>C150</f>
        <v>84.3</v>
      </c>
      <c r="D151" s="23" t="str">
        <f t="shared" si="0"/>
        <v>OK</v>
      </c>
    </row>
    <row r="154" spans="1:4" x14ac:dyDescent="0.25">
      <c r="A154" s="4" t="s">
        <v>99</v>
      </c>
    </row>
    <row r="155" spans="1:4" x14ac:dyDescent="0.25">
      <c r="A155" s="4" t="s">
        <v>100</v>
      </c>
    </row>
    <row r="156" spans="1:4" x14ac:dyDescent="0.25">
      <c r="A156" s="6" t="s">
        <v>101</v>
      </c>
      <c r="B156" s="8"/>
    </row>
    <row r="157" spans="1:4" x14ac:dyDescent="0.25">
      <c r="A157" s="6" t="s">
        <v>102</v>
      </c>
      <c r="B157" s="8">
        <f>B101</f>
        <v>2.7560000000000002</v>
      </c>
    </row>
    <row r="158" spans="1:4" x14ac:dyDescent="0.25">
      <c r="A158" s="24" t="s">
        <v>103</v>
      </c>
      <c r="B158" s="8"/>
      <c r="C158" s="8"/>
      <c r="D158" s="12"/>
    </row>
    <row r="159" spans="1:4" x14ac:dyDescent="0.25">
      <c r="A159" s="25" t="s">
        <v>104</v>
      </c>
      <c r="B159" s="8"/>
      <c r="C159" s="8"/>
      <c r="D159" s="12"/>
    </row>
    <row r="160" spans="1:4" ht="18.75" x14ac:dyDescent="0.25">
      <c r="A160" s="6" t="s">
        <v>105</v>
      </c>
      <c r="B160" s="7">
        <v>1.2E-2</v>
      </c>
      <c r="C160" s="26">
        <f>B111/180</f>
        <v>7.6388888888888893</v>
      </c>
      <c r="D160" s="19" t="str">
        <f>IF(B160&lt;=C160,"OK","NOT OK")</f>
        <v>OK</v>
      </c>
    </row>
    <row r="161" spans="1:4" x14ac:dyDescent="0.25">
      <c r="A161" s="25" t="s">
        <v>106</v>
      </c>
      <c r="B161" s="8"/>
      <c r="C161" s="8"/>
      <c r="D161" s="12"/>
    </row>
    <row r="162" spans="1:4" ht="18.75" x14ac:dyDescent="0.25">
      <c r="A162" s="6" t="s">
        <v>105</v>
      </c>
      <c r="B162" s="7">
        <v>8.0000000000000002E-3</v>
      </c>
      <c r="C162" s="26">
        <f>C160</f>
        <v>7.6388888888888893</v>
      </c>
      <c r="D162" s="19" t="str">
        <f>IF(B162&lt;=C162,"OK","NOT OK")</f>
        <v>OK</v>
      </c>
    </row>
    <row r="164" spans="1:4" x14ac:dyDescent="0.25">
      <c r="A164" s="3" t="s">
        <v>107</v>
      </c>
    </row>
    <row r="165" spans="1:4" x14ac:dyDescent="0.25">
      <c r="A165" s="2" t="s">
        <v>108</v>
      </c>
      <c r="B165" s="16">
        <v>2.9</v>
      </c>
    </row>
    <row r="166" spans="1:4" x14ac:dyDescent="0.25">
      <c r="A166" s="2" t="s">
        <v>64</v>
      </c>
      <c r="B166" s="16">
        <v>75</v>
      </c>
    </row>
    <row r="167" spans="1:4" x14ac:dyDescent="0.25">
      <c r="A167" s="2" t="s">
        <v>109</v>
      </c>
      <c r="B167" s="27">
        <f>B52</f>
        <v>120</v>
      </c>
    </row>
    <row r="168" spans="1:4" x14ac:dyDescent="0.25">
      <c r="A168" s="2" t="s">
        <v>67</v>
      </c>
    </row>
    <row r="169" spans="1:4" ht="18.75" x14ac:dyDescent="0.35">
      <c r="A169" s="17" t="s">
        <v>68</v>
      </c>
      <c r="B169" s="17">
        <f>B165*1000-B166*2+B167</f>
        <v>2870</v>
      </c>
    </row>
    <row r="170" spans="1:4" x14ac:dyDescent="0.25">
      <c r="A170" s="4" t="s">
        <v>110</v>
      </c>
    </row>
    <row r="171" spans="1:4" ht="18.75" x14ac:dyDescent="0.25">
      <c r="A171" s="12" t="s">
        <v>111</v>
      </c>
      <c r="B171" s="8">
        <f>B22+B59*B21</f>
        <v>2.6550000000000002</v>
      </c>
    </row>
    <row r="172" spans="1:4" ht="18.75" x14ac:dyDescent="0.25">
      <c r="A172" s="12" t="s">
        <v>112</v>
      </c>
      <c r="B172" s="7">
        <v>1.5</v>
      </c>
    </row>
    <row r="173" spans="1:4" ht="18.75" x14ac:dyDescent="0.25">
      <c r="A173" s="12" t="s">
        <v>113</v>
      </c>
      <c r="B173" s="7">
        <v>0.5</v>
      </c>
    </row>
    <row r="174" spans="1:4" ht="18.75" x14ac:dyDescent="0.35">
      <c r="A174" s="2" t="s">
        <v>114</v>
      </c>
      <c r="B174" s="16">
        <v>1.8</v>
      </c>
    </row>
    <row r="175" spans="1:4" ht="18.75" x14ac:dyDescent="0.35">
      <c r="A175" s="2" t="s">
        <v>115</v>
      </c>
      <c r="B175" s="17">
        <f>B171+B172+B173+B174</f>
        <v>6.4550000000000001</v>
      </c>
    </row>
    <row r="176" spans="1:4" ht="18.75" x14ac:dyDescent="0.35">
      <c r="A176" s="2" t="s">
        <v>116</v>
      </c>
      <c r="B176" s="17">
        <f>ROUND(B175*B74*1.0344,2)</f>
        <v>9.01</v>
      </c>
    </row>
    <row r="177" spans="1:4" x14ac:dyDescent="0.25">
      <c r="A177" s="2" t="s">
        <v>117</v>
      </c>
      <c r="B177" s="16">
        <v>3</v>
      </c>
    </row>
    <row r="178" spans="1:4" ht="18.75" x14ac:dyDescent="0.35">
      <c r="A178" s="2" t="s">
        <v>118</v>
      </c>
      <c r="B178" s="17">
        <f>B177*B75</f>
        <v>4.5</v>
      </c>
    </row>
    <row r="180" spans="1:4" x14ac:dyDescent="0.25">
      <c r="A180" s="4" t="s">
        <v>119</v>
      </c>
    </row>
    <row r="181" spans="1:4" ht="18.75" x14ac:dyDescent="0.35">
      <c r="A181" s="2" t="s">
        <v>120</v>
      </c>
      <c r="B181" s="17">
        <f>ROUND(B19*B15/B77/1000,2)</f>
        <v>488.09</v>
      </c>
    </row>
    <row r="182" spans="1:4" ht="18.75" x14ac:dyDescent="0.25">
      <c r="A182" s="6" t="s">
        <v>121</v>
      </c>
      <c r="B182" s="17">
        <f>ROUND(B181*1000/(1000*0.85*B60/B76),2)</f>
        <v>43.07</v>
      </c>
      <c r="C182" s="18" t="s">
        <v>122</v>
      </c>
      <c r="D182" s="17">
        <f>B53</f>
        <v>74</v>
      </c>
    </row>
    <row r="183" spans="1:4" x14ac:dyDescent="0.25">
      <c r="A183" s="3" t="str">
        <f>IF(B182&lt;=D182,"Trục trung hòa nằm trên tấm tôn thép","Trục trung  hòa nằm trong tấm tôn thép")</f>
        <v>Trục trung hòa nằm trên tấm tôn thép</v>
      </c>
    </row>
    <row r="184" spans="1:4" ht="18.75" x14ac:dyDescent="0.25">
      <c r="A184" s="28" t="s">
        <v>123</v>
      </c>
      <c r="B184" s="17">
        <f>ROUND(B181*(B54-B182/2)/1000,2)</f>
        <v>38.979999999999997</v>
      </c>
    </row>
    <row r="185" spans="1:4" ht="18.75" x14ac:dyDescent="0.25">
      <c r="A185" s="6" t="s">
        <v>124</v>
      </c>
      <c r="B185" s="16">
        <v>13.61</v>
      </c>
      <c r="C185" s="29" t="s">
        <v>125</v>
      </c>
      <c r="D185" s="17" t="str">
        <f>IF(B185&lt;=B184,"OK","Not OK")</f>
        <v>OK</v>
      </c>
    </row>
    <row r="186" spans="1:4" x14ac:dyDescent="0.25">
      <c r="A186" s="2" t="s">
        <v>126</v>
      </c>
    </row>
    <row r="187" spans="1:4" x14ac:dyDescent="0.25">
      <c r="A187" s="4" t="s">
        <v>127</v>
      </c>
    </row>
    <row r="188" spans="1:4" ht="20.25" x14ac:dyDescent="0.25">
      <c r="A188" s="30" t="s">
        <v>128</v>
      </c>
      <c r="B188" s="17">
        <f>B69</f>
        <v>390</v>
      </c>
    </row>
    <row r="189" spans="1:4" ht="18.75" x14ac:dyDescent="0.25">
      <c r="A189" s="6" t="s">
        <v>129</v>
      </c>
      <c r="B189" s="16">
        <f>523</f>
        <v>523</v>
      </c>
    </row>
    <row r="190" spans="1:4" ht="18.75" x14ac:dyDescent="0.25">
      <c r="A190" s="6" t="s">
        <v>130</v>
      </c>
      <c r="B190" s="17">
        <f>ROUND(B189*B188/B78/1000,2)</f>
        <v>177.37</v>
      </c>
    </row>
    <row r="191" spans="1:4" ht="18.75" x14ac:dyDescent="0.25">
      <c r="A191" s="6" t="s">
        <v>131</v>
      </c>
      <c r="B191" s="16">
        <f>131.5*4</f>
        <v>526</v>
      </c>
      <c r="C191" s="31" t="s">
        <v>132</v>
      </c>
    </row>
    <row r="192" spans="1:4" ht="18.75" x14ac:dyDescent="0.25">
      <c r="A192" s="6" t="s">
        <v>121</v>
      </c>
      <c r="B192" s="17">
        <f>ROUND(B190*1000/(0.85*B60*B191/B76),2)</f>
        <v>29.75</v>
      </c>
    </row>
    <row r="193" spans="1:4" x14ac:dyDescent="0.25">
      <c r="A193" s="6" t="s">
        <v>133</v>
      </c>
      <c r="B193" s="16">
        <v>25</v>
      </c>
    </row>
    <row r="194" spans="1:4" x14ac:dyDescent="0.25">
      <c r="A194" s="6" t="s">
        <v>134</v>
      </c>
      <c r="B194" s="17">
        <f>ROUND((B52-B193-B192/2),2)</f>
        <v>80.13</v>
      </c>
    </row>
    <row r="195" spans="1:4" ht="18.75" x14ac:dyDescent="0.25">
      <c r="A195" s="28" t="s">
        <v>135</v>
      </c>
      <c r="B195" s="17">
        <f>ROUND(B190*B194/1000,2)</f>
        <v>14.21</v>
      </c>
    </row>
    <row r="196" spans="1:4" ht="18.75" x14ac:dyDescent="0.25">
      <c r="A196" s="6" t="s">
        <v>136</v>
      </c>
      <c r="B196" s="16">
        <v>12.5</v>
      </c>
    </row>
    <row r="198" spans="1:4" x14ac:dyDescent="0.25">
      <c r="A198" s="4" t="s">
        <v>137</v>
      </c>
    </row>
    <row r="199" spans="1:4" x14ac:dyDescent="0.25">
      <c r="A199" s="6" t="s">
        <v>138</v>
      </c>
    </row>
    <row r="200" spans="1:4" x14ac:dyDescent="0.25">
      <c r="A200" s="6" t="s">
        <v>139</v>
      </c>
      <c r="B200" s="17">
        <f>B169/4/1000</f>
        <v>0.71750000000000003</v>
      </c>
    </row>
    <row r="201" spans="1:4" ht="18.75" x14ac:dyDescent="0.25">
      <c r="A201" s="31" t="s">
        <v>140</v>
      </c>
      <c r="B201" s="17"/>
      <c r="C201" s="31"/>
    </row>
    <row r="202" spans="1:4" ht="17.25" x14ac:dyDescent="0.25">
      <c r="A202" s="28" t="s">
        <v>141</v>
      </c>
      <c r="B202" s="17">
        <f>ROUND(1000*B54*10^-3/B79*(B32*B19/1000/(B200*1000)+B33),2)</f>
        <v>32.58</v>
      </c>
    </row>
    <row r="203" spans="1:4" ht="19.5" x14ac:dyDescent="0.25">
      <c r="A203" s="20" t="s">
        <v>142</v>
      </c>
      <c r="B203" s="16">
        <v>18.96</v>
      </c>
      <c r="C203" s="29" t="s">
        <v>125</v>
      </c>
      <c r="D203" s="17" t="str">
        <f>IF(B203&lt;=B202,"OK","Not OK")</f>
        <v>OK</v>
      </c>
    </row>
    <row r="205" spans="1:4" x14ac:dyDescent="0.25">
      <c r="A205" s="4" t="s">
        <v>143</v>
      </c>
    </row>
    <row r="206" spans="1:4" ht="18.75" x14ac:dyDescent="0.25">
      <c r="A206" s="6" t="s">
        <v>144</v>
      </c>
      <c r="B206" s="16">
        <v>131.5</v>
      </c>
    </row>
    <row r="207" spans="1:4" ht="18.75" x14ac:dyDescent="0.25">
      <c r="A207" s="6" t="s">
        <v>145</v>
      </c>
      <c r="B207" s="17">
        <f>ROUND(0.25*0.7*B61/B76,2)</f>
        <v>0.26</v>
      </c>
    </row>
    <row r="208" spans="1:4" ht="18.75" x14ac:dyDescent="0.25">
      <c r="A208" s="6" t="s">
        <v>146</v>
      </c>
      <c r="B208" s="17">
        <f>1.6-B54/1000</f>
        <v>1.4986000000000002</v>
      </c>
    </row>
    <row r="209" spans="1:4" ht="18.75" x14ac:dyDescent="0.25">
      <c r="A209" s="6" t="s">
        <v>147</v>
      </c>
      <c r="B209" s="11">
        <f>(B37+2*B28*SIN(RADIANS(D41)))*B18</f>
        <v>159.19116553682028</v>
      </c>
    </row>
    <row r="210" spans="1:4" ht="37.5" x14ac:dyDescent="0.25">
      <c r="A210" s="32" t="s">
        <v>148</v>
      </c>
      <c r="B210" s="27"/>
      <c r="C210" s="31"/>
    </row>
    <row r="211" spans="1:4" x14ac:dyDescent="0.25">
      <c r="A211" s="6" t="s">
        <v>149</v>
      </c>
      <c r="B211" s="17">
        <f>ROUND(B209/B206/1000,2)</f>
        <v>0</v>
      </c>
    </row>
    <row r="212" spans="1:4" ht="18.75" x14ac:dyDescent="0.25">
      <c r="A212" s="6" t="s">
        <v>150</v>
      </c>
      <c r="B212" s="17">
        <f>1.2+40*B211</f>
        <v>1.2</v>
      </c>
    </row>
    <row r="213" spans="1:4" ht="17.25" x14ac:dyDescent="0.25">
      <c r="A213" s="33" t="s">
        <v>151</v>
      </c>
      <c r="B213" s="17">
        <f>ROUND(B206/B39*B54*B208*B212*B207,2)</f>
        <v>27.71</v>
      </c>
    </row>
    <row r="214" spans="1:4" ht="18.75" x14ac:dyDescent="0.25">
      <c r="A214" s="6" t="s">
        <v>152</v>
      </c>
      <c r="B214" s="16">
        <v>20</v>
      </c>
      <c r="C214" s="29" t="s">
        <v>125</v>
      </c>
      <c r="D214" s="2" t="str">
        <f>IF(B214&lt;=B213,"OK","Not OK")</f>
        <v>OK</v>
      </c>
    </row>
    <row r="216" spans="1:4" x14ac:dyDescent="0.25">
      <c r="A216" s="3" t="s">
        <v>153</v>
      </c>
    </row>
    <row r="217" spans="1:4" x14ac:dyDescent="0.25">
      <c r="A217" s="4" t="s">
        <v>57</v>
      </c>
    </row>
    <row r="218" spans="1:4" ht="18.75" x14ac:dyDescent="0.25">
      <c r="A218" s="6" t="s">
        <v>154</v>
      </c>
      <c r="B218" s="34">
        <f>B22+B21*B59+1.8</f>
        <v>4.4550000000000001</v>
      </c>
    </row>
    <row r="219" spans="1:4" ht="18.75" x14ac:dyDescent="0.25">
      <c r="A219" s="6" t="s">
        <v>155</v>
      </c>
      <c r="B219" s="34">
        <f>B174</f>
        <v>1.8</v>
      </c>
    </row>
    <row r="220" spans="1:4" ht="18.75" x14ac:dyDescent="0.25">
      <c r="A220" s="6" t="s">
        <v>156</v>
      </c>
      <c r="B220" s="34">
        <v>0.5</v>
      </c>
    </row>
    <row r="221" spans="1:4" ht="18.75" x14ac:dyDescent="0.25">
      <c r="A221" s="6" t="s">
        <v>157</v>
      </c>
      <c r="B221" s="34">
        <f>B177</f>
        <v>3</v>
      </c>
    </row>
    <row r="223" spans="1:4" x14ac:dyDescent="0.25">
      <c r="A223" s="24" t="s">
        <v>158</v>
      </c>
      <c r="B223" s="8"/>
    </row>
    <row r="224" spans="1:4" x14ac:dyDescent="0.25">
      <c r="A224" s="6" t="s">
        <v>159</v>
      </c>
      <c r="B224" s="8">
        <f>B16*2/(B62+B62/3)</f>
        <v>10.862068965517242</v>
      </c>
    </row>
    <row r="225" spans="1:5" x14ac:dyDescent="0.25">
      <c r="A225" s="35" t="s">
        <v>160</v>
      </c>
      <c r="B225" s="8"/>
    </row>
    <row r="226" spans="1:5" ht="18.75" x14ac:dyDescent="0.25">
      <c r="A226" s="6" t="s">
        <v>161</v>
      </c>
      <c r="B226" s="34">
        <f>B224*B19/1000*(SQRT(1+2*1000*B54/B224/B19)-1)</f>
        <v>43.80884839526157</v>
      </c>
    </row>
    <row r="227" spans="1:5" ht="18.75" x14ac:dyDescent="0.25">
      <c r="A227" s="6" t="s">
        <v>162</v>
      </c>
      <c r="B227" s="36">
        <f>1000*B226^3/12/B224+1000*B226*(B226/2)^2/B224+B19*(B54-B226)^2+B23*10000</f>
        <v>8198070.3755712723</v>
      </c>
    </row>
    <row r="228" spans="1:5" x14ac:dyDescent="0.25">
      <c r="A228" s="35" t="s">
        <v>163</v>
      </c>
    </row>
    <row r="229" spans="1:5" ht="18.75" x14ac:dyDescent="0.25">
      <c r="A229" s="6" t="s">
        <v>164</v>
      </c>
      <c r="B229" s="17">
        <f>ROUND((1000*B53^2/2+526*B20*(B52-B20/2)+B224*B19*B54)/(1000*B53+526*B20+B224*B19),2)</f>
        <v>58.98</v>
      </c>
    </row>
    <row r="230" spans="1:5" ht="18.75" x14ac:dyDescent="0.25">
      <c r="A230" s="6" t="s">
        <v>165</v>
      </c>
      <c r="B230" s="2">
        <f>1000*B53^3/12/B224+1000*B53*(B229-B53/2)^2/B224+526*B20^3/12/B224+526*B20/B224*(B52-B229-B20/2)^2+B19*(B54-B229)^2+B23*10000</f>
        <v>13303370.964436825</v>
      </c>
    </row>
    <row r="231" spans="1:5" ht="18.75" x14ac:dyDescent="0.25">
      <c r="A231" s="35" t="s">
        <v>166</v>
      </c>
      <c r="B231" s="2">
        <f>(B227+B230)/2</f>
        <v>10750720.670004049</v>
      </c>
    </row>
    <row r="232" spans="1:5" ht="18.75" x14ac:dyDescent="0.25">
      <c r="A232" s="6" t="s">
        <v>167</v>
      </c>
      <c r="B232" s="16">
        <v>3.68</v>
      </c>
    </row>
    <row r="233" spans="1:5" ht="18.75" x14ac:dyDescent="0.35">
      <c r="A233" s="2" t="s">
        <v>168</v>
      </c>
      <c r="B233" s="17">
        <f>B169/250</f>
        <v>11.48</v>
      </c>
      <c r="C233" s="29" t="s">
        <v>125</v>
      </c>
      <c r="D233" s="2" t="str">
        <f>IF(B232&lt;=B233,"OK","Not OK")</f>
        <v>OK</v>
      </c>
    </row>
    <row r="234" spans="1:5" x14ac:dyDescent="0.25">
      <c r="A234" s="24" t="s">
        <v>169</v>
      </c>
      <c r="B234" s="8"/>
      <c r="C234" s="8"/>
      <c r="D234" s="12"/>
      <c r="E234" s="8"/>
    </row>
    <row r="235" spans="1:5" x14ac:dyDescent="0.25">
      <c r="A235" s="39" t="s">
        <v>170</v>
      </c>
      <c r="B235" s="39"/>
      <c r="C235" s="39"/>
      <c r="D235" s="12"/>
      <c r="E235" s="8"/>
    </row>
    <row r="236" spans="1:5" x14ac:dyDescent="0.25">
      <c r="A236" s="39"/>
      <c r="B236" s="39"/>
      <c r="C236" s="39"/>
      <c r="E236" s="8"/>
    </row>
    <row r="237" spans="1:5" ht="18.75" x14ac:dyDescent="0.25">
      <c r="A237" s="6" t="s">
        <v>171</v>
      </c>
      <c r="B237" s="8">
        <f>(0.2/100)*1000*B53</f>
        <v>148</v>
      </c>
      <c r="C237" s="37">
        <f>B189</f>
        <v>523</v>
      </c>
      <c r="D237" s="19" t="str">
        <f>IF(B237&lt;=C237,"OK","NOT OK")</f>
        <v>OK</v>
      </c>
    </row>
  </sheetData>
  <mergeCells count="2">
    <mergeCell ref="A1:D1"/>
    <mergeCell ref="A235:C236"/>
  </mergeCells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 Viet</cp:lastModifiedBy>
  <dcterms:created xsi:type="dcterms:W3CDTF">2017-11-28T12:22:51Z</dcterms:created>
  <dcterms:modified xsi:type="dcterms:W3CDTF">2017-12-01T08:42:27Z</dcterms:modified>
</cp:coreProperties>
</file>